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C7667127-4110-4046-A965-7798508EC39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-7" sheetId="8" r:id="rId1"/>
    <sheet name="8" sheetId="7" r:id="rId2"/>
    <sheet name="9-10" sheetId="1" r:id="rId3"/>
    <sheet name="11" sheetId="2" r:id="rId4"/>
    <sheet name="12" sheetId="3" r:id="rId5"/>
    <sheet name="13" sheetId="4" r:id="rId6"/>
    <sheet name="14" sheetId="5" r:id="rId7"/>
    <sheet name="15" sheetId="6" r:id="rId8"/>
  </sheets>
  <calcPr calcId="181029"/>
</workbook>
</file>

<file path=xl/calcChain.xml><?xml version="1.0" encoding="utf-8"?>
<calcChain xmlns="http://schemas.openxmlformats.org/spreadsheetml/2006/main">
  <c r="F42" i="8" l="1"/>
  <c r="E44" i="8"/>
  <c r="F44" i="8" s="1"/>
  <c r="E43" i="8"/>
  <c r="F43" i="8" s="1"/>
  <c r="F45" i="8" s="1"/>
  <c r="C46" i="8" s="1"/>
  <c r="E42" i="8"/>
  <c r="I33" i="8"/>
  <c r="J33" i="8" s="1"/>
  <c r="J36" i="8" s="1"/>
  <c r="I34" i="8"/>
  <c r="J34" i="8" s="1"/>
  <c r="I35" i="8"/>
  <c r="J35" i="8" s="1"/>
  <c r="D175" i="8"/>
  <c r="D177" i="8" s="1"/>
  <c r="I172" i="8"/>
  <c r="F172" i="8"/>
  <c r="I171" i="8"/>
  <c r="I173" i="8" s="1"/>
  <c r="I175" i="8" s="1"/>
  <c r="I177" i="8" s="1"/>
  <c r="H171" i="8"/>
  <c r="H172" i="8" s="1"/>
  <c r="H173" i="8" s="1"/>
  <c r="H175" i="8" s="1"/>
  <c r="H177" i="8" s="1"/>
  <c r="G171" i="8"/>
  <c r="F171" i="8"/>
  <c r="E171" i="8"/>
  <c r="E172" i="8" s="1"/>
  <c r="D160" i="8"/>
  <c r="D156" i="8"/>
  <c r="D137" i="8"/>
  <c r="D139" i="8" s="1"/>
  <c r="C125" i="8"/>
  <c r="C120" i="8"/>
  <c r="C114" i="8"/>
  <c r="C109" i="8"/>
  <c r="D102" i="8"/>
  <c r="D98" i="8"/>
  <c r="D92" i="8"/>
  <c r="D89" i="8"/>
  <c r="D86" i="8"/>
  <c r="C35" i="8"/>
  <c r="D27" i="8"/>
  <c r="D25" i="8"/>
  <c r="D21" i="8"/>
  <c r="D15" i="8"/>
  <c r="D10" i="8"/>
  <c r="D5" i="8"/>
  <c r="E173" i="8" l="1"/>
  <c r="E175" i="8" s="1"/>
  <c r="E177" i="8" s="1"/>
  <c r="F173" i="8"/>
  <c r="F175" i="8" s="1"/>
  <c r="F177" i="8" s="1"/>
  <c r="G172" i="8"/>
  <c r="G173" i="8" s="1"/>
  <c r="G175" i="8" s="1"/>
  <c r="G177" i="8" s="1"/>
  <c r="C39" i="7" l="1"/>
  <c r="B38" i="7"/>
  <c r="B39" i="7"/>
  <c r="D39" i="7" s="1"/>
  <c r="A40" i="7"/>
  <c r="A41" i="7" s="1"/>
  <c r="A42" i="7" s="1"/>
  <c r="C42" i="7" s="1"/>
  <c r="G33" i="7"/>
  <c r="E33" i="7"/>
  <c r="F33" i="7" s="1"/>
  <c r="D32" i="7"/>
  <c r="F32" i="7" s="1"/>
  <c r="H32" i="7" s="1"/>
  <c r="D26" i="7"/>
  <c r="B35" i="7"/>
  <c r="D35" i="7" s="1"/>
  <c r="B27" i="7"/>
  <c r="D27" i="7" s="1"/>
  <c r="B20" i="7"/>
  <c r="G34" i="7"/>
  <c r="G35" i="7"/>
  <c r="D34" i="7"/>
  <c r="E34" i="7" s="1"/>
  <c r="F34" i="7" s="1"/>
  <c r="D33" i="7"/>
  <c r="A33" i="7"/>
  <c r="A34" i="7" s="1"/>
  <c r="A35" i="7" s="1"/>
  <c r="D25" i="7"/>
  <c r="E25" i="7" s="1"/>
  <c r="D24" i="7"/>
  <c r="F24" i="7" s="1"/>
  <c r="A25" i="7"/>
  <c r="B64" i="5"/>
  <c r="B63" i="5"/>
  <c r="B66" i="5" s="1"/>
  <c r="B57" i="5"/>
  <c r="B58" i="5" s="1"/>
  <c r="B69" i="5" s="1"/>
  <c r="B56" i="5"/>
  <c r="B47" i="5"/>
  <c r="B46" i="5"/>
  <c r="B49" i="5" s="1"/>
  <c r="B37" i="5"/>
  <c r="B36" i="5"/>
  <c r="B28" i="5"/>
  <c r="B29" i="5" s="1"/>
  <c r="B26" i="5"/>
  <c r="B25" i="5"/>
  <c r="C26" i="6"/>
  <c r="B26" i="6"/>
  <c r="A22" i="6"/>
  <c r="A23" i="6" s="1"/>
  <c r="A24" i="6" s="1"/>
  <c r="A25" i="6" s="1"/>
  <c r="B24" i="4"/>
  <c r="C24" i="4"/>
  <c r="A21" i="4"/>
  <c r="A22" i="4" s="1"/>
  <c r="A23" i="4" s="1"/>
  <c r="A20" i="4"/>
  <c r="B42" i="3"/>
  <c r="B41" i="3"/>
  <c r="B40" i="3"/>
  <c r="B39" i="3"/>
  <c r="B38" i="3"/>
  <c r="B37" i="3"/>
  <c r="B36" i="3"/>
  <c r="B35" i="3"/>
  <c r="B34" i="3"/>
  <c r="C32" i="3"/>
  <c r="C33" i="3" s="1"/>
  <c r="B33" i="3"/>
  <c r="B32" i="3"/>
  <c r="A33" i="3"/>
  <c r="A34" i="3" s="1"/>
  <c r="A35" i="3" s="1"/>
  <c r="A36" i="3" s="1"/>
  <c r="A37" i="3" s="1"/>
  <c r="A38" i="3" s="1"/>
  <c r="A39" i="3" s="1"/>
  <c r="A40" i="3" s="1"/>
  <c r="A41" i="3" s="1"/>
  <c r="A42" i="3" s="1"/>
  <c r="C24" i="3"/>
  <c r="B24" i="3"/>
  <c r="B20" i="3"/>
  <c r="C23" i="3" s="1"/>
  <c r="D111" i="2"/>
  <c r="D84" i="2"/>
  <c r="A63" i="2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A90" i="2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E47" i="2"/>
  <c r="B52" i="2"/>
  <c r="D52" i="2" s="1"/>
  <c r="B51" i="2"/>
  <c r="D51" i="2" s="1"/>
  <c r="B50" i="2"/>
  <c r="D50" i="2" s="1"/>
  <c r="B49" i="2"/>
  <c r="D49" i="2" s="1"/>
  <c r="B48" i="2"/>
  <c r="D48" i="2" s="1"/>
  <c r="E48" i="2" s="1"/>
  <c r="A48" i="2"/>
  <c r="A49" i="2" s="1"/>
  <c r="A50" i="2" s="1"/>
  <c r="A51" i="2" s="1"/>
  <c r="A52" i="2" s="1"/>
  <c r="D47" i="2"/>
  <c r="D37" i="2"/>
  <c r="D32" i="2"/>
  <c r="D30" i="2"/>
  <c r="D29" i="2"/>
  <c r="D28" i="2"/>
  <c r="D25" i="2"/>
  <c r="D24" i="2"/>
  <c r="E19" i="2"/>
  <c r="C63" i="2" s="1"/>
  <c r="C90" i="2" s="1"/>
  <c r="D90" i="2" s="1"/>
  <c r="D19" i="2"/>
  <c r="E18" i="2"/>
  <c r="C62" i="2" s="1"/>
  <c r="D18" i="2"/>
  <c r="F18" i="2" s="1"/>
  <c r="B38" i="2"/>
  <c r="D38" i="2" s="1"/>
  <c r="B37" i="2"/>
  <c r="B36" i="2"/>
  <c r="D36" i="2" s="1"/>
  <c r="B35" i="2"/>
  <c r="D35" i="2" s="1"/>
  <c r="B34" i="2"/>
  <c r="D34" i="2" s="1"/>
  <c r="B33" i="2"/>
  <c r="D33" i="2" s="1"/>
  <c r="B32" i="2"/>
  <c r="B31" i="2"/>
  <c r="D31" i="2" s="1"/>
  <c r="B30" i="2"/>
  <c r="B29" i="2"/>
  <c r="B28" i="2"/>
  <c r="B27" i="2"/>
  <c r="D27" i="2" s="1"/>
  <c r="B26" i="2"/>
  <c r="D26" i="2" s="1"/>
  <c r="B25" i="2"/>
  <c r="B24" i="2"/>
  <c r="B23" i="2"/>
  <c r="D23" i="2" s="1"/>
  <c r="B22" i="2"/>
  <c r="D22" i="2" s="1"/>
  <c r="B21" i="2"/>
  <c r="D21" i="2" s="1"/>
  <c r="B20" i="2"/>
  <c r="D20" i="2" s="1"/>
  <c r="B19" i="2"/>
  <c r="A20" i="2"/>
  <c r="A19" i="2"/>
  <c r="A54" i="1"/>
  <c r="A55" i="1" s="1"/>
  <c r="A56" i="1" s="1"/>
  <c r="C53" i="1"/>
  <c r="D53" i="1" s="1"/>
  <c r="C36" i="1"/>
  <c r="D36" i="1"/>
  <c r="A37" i="1"/>
  <c r="C17" i="1"/>
  <c r="D17" i="1" s="1"/>
  <c r="C16" i="1"/>
  <c r="D16" i="1" s="1"/>
  <c r="C15" i="1"/>
  <c r="D15" i="1" s="1"/>
  <c r="C14" i="1"/>
  <c r="B14" i="1"/>
  <c r="F19" i="2" l="1"/>
  <c r="D42" i="2"/>
  <c r="C117" i="2" s="1"/>
  <c r="E49" i="2"/>
  <c r="E50" i="2" s="1"/>
  <c r="E51" i="2" s="1"/>
  <c r="E52" i="2" s="1"/>
  <c r="A38" i="1"/>
  <c r="C37" i="1"/>
  <c r="D37" i="1" s="1"/>
  <c r="A21" i="2"/>
  <c r="E20" i="2"/>
  <c r="C64" i="2" s="1"/>
  <c r="D63" i="2"/>
  <c r="F20" i="2"/>
  <c r="D62" i="2"/>
  <c r="C89" i="2"/>
  <c r="D89" i="2" s="1"/>
  <c r="E35" i="7"/>
  <c r="F35" i="7" s="1"/>
  <c r="H35" i="7" s="1"/>
  <c r="B42" i="7" s="1"/>
  <c r="D42" i="7" s="1"/>
  <c r="C41" i="7"/>
  <c r="B23" i="3"/>
  <c r="B25" i="3" s="1"/>
  <c r="B30" i="5"/>
  <c r="C34" i="3"/>
  <c r="C35" i="3" s="1"/>
  <c r="C36" i="3" s="1"/>
  <c r="C37" i="3" s="1"/>
  <c r="C38" i="3" s="1"/>
  <c r="C39" i="3" s="1"/>
  <c r="C40" i="3" s="1"/>
  <c r="C41" i="3" s="1"/>
  <c r="C42" i="3" s="1"/>
  <c r="C40" i="7"/>
  <c r="D40" i="7" s="1"/>
  <c r="B39" i="5"/>
  <c r="B40" i="5" s="1"/>
  <c r="B41" i="5" s="1"/>
  <c r="H34" i="7"/>
  <c r="B41" i="7" s="1"/>
  <c r="E26" i="7"/>
  <c r="F26" i="7" s="1"/>
  <c r="F25" i="7"/>
  <c r="H33" i="7"/>
  <c r="B40" i="7" s="1"/>
  <c r="E27" i="7"/>
  <c r="F27" i="7" s="1"/>
  <c r="B67" i="5"/>
  <c r="C25" i="3"/>
  <c r="C54" i="1"/>
  <c r="D54" i="1" s="1"/>
  <c r="A57" i="1"/>
  <c r="C56" i="1"/>
  <c r="D56" i="1" s="1"/>
  <c r="C55" i="1"/>
  <c r="D55" i="1" s="1"/>
  <c r="D14" i="1"/>
  <c r="D18" i="1" s="1"/>
  <c r="A22" i="2" l="1"/>
  <c r="E21" i="2"/>
  <c r="A39" i="1"/>
  <c r="C38" i="1"/>
  <c r="D38" i="1" s="1"/>
  <c r="D41" i="7"/>
  <c r="D43" i="7" s="1"/>
  <c r="B68" i="5"/>
  <c r="B70" i="5" s="1"/>
  <c r="C91" i="2"/>
  <c r="D91" i="2" s="1"/>
  <c r="D64" i="2"/>
  <c r="C57" i="1"/>
  <c r="D57" i="1" s="1"/>
  <c r="A58" i="1"/>
  <c r="A23" i="2" l="1"/>
  <c r="E22" i="2"/>
  <c r="A40" i="1"/>
  <c r="C39" i="1"/>
  <c r="D39" i="1" s="1"/>
  <c r="C65" i="2"/>
  <c r="F21" i="2"/>
  <c r="C58" i="1"/>
  <c r="D58" i="1" s="1"/>
  <c r="A59" i="1"/>
  <c r="C59" i="1" s="1"/>
  <c r="D59" i="1" s="1"/>
  <c r="D65" i="2" l="1"/>
  <c r="C92" i="2"/>
  <c r="D92" i="2" s="1"/>
  <c r="A24" i="2"/>
  <c r="E23" i="2"/>
  <c r="A41" i="1"/>
  <c r="C40" i="1"/>
  <c r="D40" i="1" s="1"/>
  <c r="C66" i="2"/>
  <c r="F22" i="2"/>
  <c r="D60" i="1"/>
  <c r="C70" i="1" s="1"/>
  <c r="C93" i="2" l="1"/>
  <c r="D93" i="2" s="1"/>
  <c r="D66" i="2"/>
  <c r="C67" i="2"/>
  <c r="F23" i="2"/>
  <c r="A25" i="2"/>
  <c r="E24" i="2"/>
  <c r="A42" i="1"/>
  <c r="C42" i="1" s="1"/>
  <c r="D42" i="1" s="1"/>
  <c r="D43" i="1" s="1"/>
  <c r="C68" i="1" s="1"/>
  <c r="C41" i="1"/>
  <c r="D41" i="1" s="1"/>
  <c r="D67" i="2" l="1"/>
  <c r="C94" i="2"/>
  <c r="D94" i="2" s="1"/>
  <c r="C68" i="2"/>
  <c r="F24" i="2"/>
  <c r="A26" i="2"/>
  <c r="E25" i="2"/>
  <c r="C95" i="2" l="1"/>
  <c r="D95" i="2" s="1"/>
  <c r="D68" i="2"/>
  <c r="C69" i="2"/>
  <c r="F25" i="2"/>
  <c r="A27" i="2"/>
  <c r="E26" i="2"/>
  <c r="D69" i="2" l="1"/>
  <c r="C96" i="2"/>
  <c r="D96" i="2" s="1"/>
  <c r="C70" i="2"/>
  <c r="F26" i="2"/>
  <c r="A28" i="2"/>
  <c r="E27" i="2"/>
  <c r="D70" i="2" l="1"/>
  <c r="C97" i="2"/>
  <c r="D97" i="2" s="1"/>
  <c r="C71" i="2"/>
  <c r="F27" i="2"/>
  <c r="A29" i="2"/>
  <c r="E28" i="2"/>
  <c r="D71" i="2" l="1"/>
  <c r="C98" i="2"/>
  <c r="D98" i="2" s="1"/>
  <c r="C72" i="2"/>
  <c r="F28" i="2"/>
  <c r="A30" i="2"/>
  <c r="E29" i="2"/>
  <c r="C99" i="2" l="1"/>
  <c r="D99" i="2" s="1"/>
  <c r="D72" i="2"/>
  <c r="C73" i="2"/>
  <c r="F29" i="2"/>
  <c r="A31" i="2"/>
  <c r="E30" i="2"/>
  <c r="D73" i="2" l="1"/>
  <c r="C100" i="2"/>
  <c r="D100" i="2" s="1"/>
  <c r="C74" i="2"/>
  <c r="F30" i="2"/>
  <c r="A32" i="2"/>
  <c r="E31" i="2"/>
  <c r="C101" i="2" l="1"/>
  <c r="D101" i="2" s="1"/>
  <c r="D74" i="2"/>
  <c r="C75" i="2"/>
  <c r="F31" i="2"/>
  <c r="A33" i="2"/>
  <c r="E32" i="2"/>
  <c r="D75" i="2" l="1"/>
  <c r="C102" i="2"/>
  <c r="D102" i="2" s="1"/>
  <c r="C76" i="2"/>
  <c r="F32" i="2"/>
  <c r="A34" i="2"/>
  <c r="E33" i="2"/>
  <c r="C103" i="2" l="1"/>
  <c r="D103" i="2" s="1"/>
  <c r="D76" i="2"/>
  <c r="C77" i="2"/>
  <c r="F33" i="2"/>
  <c r="A35" i="2"/>
  <c r="E34" i="2"/>
  <c r="D77" i="2" l="1"/>
  <c r="C104" i="2"/>
  <c r="D104" i="2" s="1"/>
  <c r="F34" i="2"/>
  <c r="C78" i="2"/>
  <c r="A36" i="2"/>
  <c r="E35" i="2"/>
  <c r="D78" i="2" l="1"/>
  <c r="C105" i="2"/>
  <c r="D105" i="2" s="1"/>
  <c r="C79" i="2"/>
  <c r="F35" i="2"/>
  <c r="A37" i="2"/>
  <c r="E36" i="2"/>
  <c r="D79" i="2" l="1"/>
  <c r="C106" i="2"/>
  <c r="D106" i="2" s="1"/>
  <c r="C80" i="2"/>
  <c r="F36" i="2"/>
  <c r="A38" i="2"/>
  <c r="E38" i="2" s="1"/>
  <c r="E37" i="2"/>
  <c r="C81" i="2" l="1"/>
  <c r="F37" i="2"/>
  <c r="C107" i="2"/>
  <c r="D107" i="2" s="1"/>
  <c r="D80" i="2"/>
  <c r="C82" i="2"/>
  <c r="F38" i="2"/>
  <c r="F39" i="2" s="1"/>
  <c r="C116" i="2" s="1"/>
  <c r="C109" i="2" l="1"/>
  <c r="D109" i="2" s="1"/>
  <c r="D82" i="2"/>
  <c r="D81" i="2"/>
  <c r="C108" i="2"/>
  <c r="D108" i="2" s="1"/>
  <c r="D83" i="2" l="1"/>
  <c r="D85" i="2" s="1"/>
  <c r="C119" i="2" s="1"/>
  <c r="D110" i="2"/>
  <c r="D112" i="2" s="1"/>
  <c r="C120" i="2" s="1"/>
</calcChain>
</file>

<file path=xl/sharedStrings.xml><?xml version="1.0" encoding="utf-8"?>
<sst xmlns="http://schemas.openxmlformats.org/spreadsheetml/2006/main" count="277" uniqueCount="166">
  <si>
    <t>Years</t>
  </si>
  <si>
    <t>Cash inflows</t>
  </si>
  <si>
    <t>PVIF</t>
  </si>
  <si>
    <t>Value of factory</t>
  </si>
  <si>
    <t>Part b</t>
  </si>
  <si>
    <t>Part a</t>
  </si>
  <si>
    <t>Yes</t>
  </si>
  <si>
    <t>PV cost of leasing</t>
  </si>
  <si>
    <t>It is cheaper to lease since the present value cost of leasing is 45295 as compared to purchasing cost of 46000.</t>
  </si>
  <si>
    <t>Part c</t>
  </si>
  <si>
    <t>It is cheaper to buy since the present value cost of leasing is 48919 is higher as compared to purchasing cost of 46000.</t>
  </si>
  <si>
    <t>Part d</t>
  </si>
  <si>
    <t>a</t>
  </si>
  <si>
    <t>b</t>
  </si>
  <si>
    <t>c</t>
  </si>
  <si>
    <t>d</t>
  </si>
  <si>
    <t>Present value of lease</t>
  </si>
  <si>
    <t>Is it cheaper to buy or lease</t>
  </si>
  <si>
    <t>Is it now cheaper to buy or lease</t>
  </si>
  <si>
    <t>Lease</t>
  </si>
  <si>
    <t>Buy</t>
  </si>
  <si>
    <t>Cash savings</t>
  </si>
  <si>
    <t>Cash outflows</t>
  </si>
  <si>
    <t>Net cash flows</t>
  </si>
  <si>
    <t>Discounted cash flows</t>
  </si>
  <si>
    <t>Net Present value of the furnace</t>
  </si>
  <si>
    <t>IRR</t>
  </si>
  <si>
    <t>Cumulative cash flows are positive in Year 4</t>
  </si>
  <si>
    <t>Equivalent annual costs</t>
  </si>
  <si>
    <t>Net present value</t>
  </si>
  <si>
    <t>NPV factor</t>
  </si>
  <si>
    <t>Equivalent annual cost</t>
  </si>
  <si>
    <t>Equivalent annual savings</t>
  </si>
  <si>
    <t>e</t>
  </si>
  <si>
    <t>f</t>
  </si>
  <si>
    <t>NPV</t>
  </si>
  <si>
    <t xml:space="preserve">Cumulative cashflows are positive in </t>
  </si>
  <si>
    <t>Equiavlent annual savings</t>
  </si>
  <si>
    <t>Are the two measures the same or is one larger</t>
  </si>
  <si>
    <t>Year 4</t>
  </si>
  <si>
    <t>Savings are larger</t>
  </si>
  <si>
    <t>Expenditure</t>
  </si>
  <si>
    <t>Savings</t>
  </si>
  <si>
    <t>At 5%</t>
  </si>
  <si>
    <t>PV expenditure</t>
  </si>
  <si>
    <t>PV of savings</t>
  </si>
  <si>
    <t>At 10%</t>
  </si>
  <si>
    <t>The project has an IRR of 10%</t>
  </si>
  <si>
    <t>Payback period is 10 Years</t>
  </si>
  <si>
    <t>Project A</t>
  </si>
  <si>
    <t>Project B</t>
  </si>
  <si>
    <t>Both</t>
  </si>
  <si>
    <t>Revenue</t>
  </si>
  <si>
    <t>Variable costs</t>
  </si>
  <si>
    <t>Contribution</t>
  </si>
  <si>
    <t>Rental costs</t>
  </si>
  <si>
    <t>Depreciation</t>
  </si>
  <si>
    <t>PBT</t>
  </si>
  <si>
    <t>Tax</t>
  </si>
  <si>
    <t>PAT</t>
  </si>
  <si>
    <t>Income statement</t>
  </si>
  <si>
    <t>Dollars in, Dollars out</t>
  </si>
  <si>
    <t>Part b (1)</t>
  </si>
  <si>
    <t>Part b(11)</t>
  </si>
  <si>
    <t>Operating cash flow</t>
  </si>
  <si>
    <t>Depreciation tax shield</t>
  </si>
  <si>
    <t>Depreciation expense</t>
  </si>
  <si>
    <t>Tax rate</t>
  </si>
  <si>
    <t>Dereciation tax shield</t>
  </si>
  <si>
    <t>Add depreciation tax shield</t>
  </si>
  <si>
    <t>Add back depreciation tax shield</t>
  </si>
  <si>
    <t xml:space="preserve">Cost </t>
  </si>
  <si>
    <t>Salvage value</t>
  </si>
  <si>
    <t>Useful life</t>
  </si>
  <si>
    <t>Inflow</t>
  </si>
  <si>
    <t>Ouflow</t>
  </si>
  <si>
    <t>Opearting cash flows</t>
  </si>
  <si>
    <t>Add depreciation</t>
  </si>
  <si>
    <t>Total cash flow</t>
  </si>
  <si>
    <t>The grill should be purchased since it has a positive NPV</t>
  </si>
  <si>
    <t>A</t>
  </si>
  <si>
    <t>YEAR 0</t>
  </si>
  <si>
    <t>Cashflow in year zero + -the initial cost of the new washer + after tax proceeds from sale of the old washer</t>
  </si>
  <si>
    <t>YEARS 1-6</t>
  </si>
  <si>
    <t>Cashflow in years 1 - 6 = after tax savings in expenses + tax shield on depreciation</t>
  </si>
  <si>
    <t xml:space="preserve">B </t>
  </si>
  <si>
    <t>Project NPV = CO + PV of annuity</t>
  </si>
  <si>
    <t xml:space="preserve">ANSWER </t>
  </si>
  <si>
    <t>C</t>
  </si>
  <si>
    <t>Cash flow in year zero = -the initial cost of the new washer*(1-Tax) + after-tax proceeds from sale of the old washer.</t>
  </si>
  <si>
    <t>Cash flows in years 1 -6 = after tax savings in expenses</t>
  </si>
  <si>
    <t>Present Value</t>
  </si>
  <si>
    <t>PMT x ((1 – (1 / (1 + r) ^ n)) / r)</t>
  </si>
  <si>
    <t>1+7%</t>
  </si>
  <si>
    <t>Present Value (1+r)^n</t>
  </si>
  <si>
    <t>539=350(1+r)^11</t>
  </si>
  <si>
    <t>1.54=(1+r)^11</t>
  </si>
  <si>
    <t>(1+r) = 1.54^(1/11)</t>
  </si>
  <si>
    <t>(1+r)=1.04</t>
  </si>
  <si>
    <t>r= 0.04 = 4%</t>
  </si>
  <si>
    <t>207=158(1+r)^4</t>
  </si>
  <si>
    <t>1.31=(1+r)^4</t>
  </si>
  <si>
    <t>(1+r) = 1.31^(1/4)</t>
  </si>
  <si>
    <t>(1+r)=1.07</t>
  </si>
  <si>
    <t>r= 0.07 = 7%</t>
  </si>
  <si>
    <t>250=250(1+r)^7</t>
  </si>
  <si>
    <t>1=(1+r)^7</t>
  </si>
  <si>
    <t>(1+r) = 1^(1/7)</t>
  </si>
  <si>
    <t>(1+r)=1</t>
  </si>
  <si>
    <t>r= 0 = 0%</t>
  </si>
  <si>
    <t>Future Value</t>
  </si>
  <si>
    <t>Interest Rate</t>
  </si>
  <si>
    <t>Amount=P*(1+r)^Time period</t>
  </si>
  <si>
    <t>P is the principal amount and r is the interest rate</t>
  </si>
  <si>
    <t xml:space="preserve">When p=$1800, r=3% and time period </t>
  </si>
  <si>
    <t>Interest in the First year</t>
  </si>
  <si>
    <t>Amount in the first year=1800*(1+3%)^1=1854</t>
  </si>
  <si>
    <t>Amount in second year=1800*(1+3%)^2=1909.621081.6</t>
  </si>
  <si>
    <t>Interest amount=1909.62-1800</t>
  </si>
  <si>
    <t>Interest in the 10th year</t>
  </si>
  <si>
    <t>Amount in tenth year=1800*(1+3%)^10=1480.24</t>
  </si>
  <si>
    <t>Interest amount=2419.049-1800=$619.05</t>
  </si>
  <si>
    <t>Future values</t>
  </si>
  <si>
    <t>a. r=8%, t=10 years</t>
  </si>
  <si>
    <t>$ 105*(1.08)^10</t>
  </si>
  <si>
    <t>b. r=8%, t = 20 years</t>
  </si>
  <si>
    <t>$ 105*(1.08)^20</t>
  </si>
  <si>
    <t>c. r4=%, t = 10 years</t>
  </si>
  <si>
    <t>$ 105*(1.04)^10</t>
  </si>
  <si>
    <t>d. r=4%, t = 20 years</t>
  </si>
  <si>
    <t>$ 105*(1.04)^20</t>
  </si>
  <si>
    <t xml:space="preserve">Present value </t>
  </si>
  <si>
    <t>F</t>
  </si>
  <si>
    <t>(1+R)^t</t>
  </si>
  <si>
    <t>Present Value =</t>
  </si>
  <si>
    <t>(1+0.09)^6</t>
  </si>
  <si>
    <t>PV =</t>
  </si>
  <si>
    <t>The present Value  is $ 1,788,802</t>
  </si>
  <si>
    <t xml:space="preserve">The present value of the property is $ 1,788,802 which is lesser than the actual acquisition price of 2,300,000 hence the investment is not attractive. </t>
  </si>
  <si>
    <t>c-1</t>
  </si>
  <si>
    <t xml:space="preserve">Present Value of Annuity  = </t>
  </si>
  <si>
    <t>C * (1-1/(1+r)t</t>
  </si>
  <si>
    <t>r</t>
  </si>
  <si>
    <t>WHERE</t>
  </si>
  <si>
    <t>C is cash flow in a given period</t>
  </si>
  <si>
    <t>R is required rate of return</t>
  </si>
  <si>
    <t>N is number of payments</t>
  </si>
  <si>
    <t>130000 *((1- 1/(1+0.09)^6)) / 0.08</t>
  </si>
  <si>
    <t xml:space="preserve">Present  value = </t>
  </si>
  <si>
    <t>1788801.981+583169.360</t>
  </si>
  <si>
    <t>c-2</t>
  </si>
  <si>
    <t>The investment is attractive because the present value of $ 2,371,971.34 is more than the actual acquisition price of $ 2,300,000.</t>
  </si>
  <si>
    <t xml:space="preserve">YEAR </t>
  </si>
  <si>
    <t>Initial Investment</t>
  </si>
  <si>
    <t>Annual Savings beofre tax</t>
  </si>
  <si>
    <t>Less</t>
  </si>
  <si>
    <t>Earnings before tax</t>
  </si>
  <si>
    <t>Less Tax 30%</t>
  </si>
  <si>
    <t>Earnings after Tax</t>
  </si>
  <si>
    <t>Add</t>
  </si>
  <si>
    <t>Operating Cashflows</t>
  </si>
  <si>
    <t>After-tax Salvage Value</t>
  </si>
  <si>
    <t>Total Cash flows</t>
  </si>
  <si>
    <t xml:space="preserve">Years </t>
  </si>
  <si>
    <t>Annuity</t>
  </si>
  <si>
    <t>Discounted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</si>
</sst>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_);[Red]\(&quot;$&quot;#,##0\)"/>
    <numFmt numFmtId="165" formatCode="&quot;$&quot;#,##0.00_);[Red]\(&quot;$&quot;#,##0.00\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000"/>
    <numFmt numFmtId="169" formatCode="0.000000"/>
    <numFmt numFmtId="170" formatCode="_(* #,##0_);_(* \(#,##0\);_(* &quot;-&quot;??_);_(@_)"/>
    <numFmt numFmtId="171" formatCode="_(* #,##0.0000_);_(* \(#,##0.00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4">
    <xf numFmtId="0" fontId="0" fillId="0" borderId="0" xfId="0"/>
    <xf numFmtId="168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9" fontId="0" fillId="0" borderId="0" xfId="0" applyNumberFormat="1"/>
    <xf numFmtId="9" fontId="0" fillId="0" borderId="1" xfId="0" applyNumberFormat="1" applyBorder="1"/>
    <xf numFmtId="0" fontId="0" fillId="0" borderId="0" xfId="0" applyNumberFormat="1"/>
    <xf numFmtId="165" fontId="2" fillId="0" borderId="0" xfId="0" applyNumberFormat="1" applyFont="1"/>
    <xf numFmtId="0" fontId="0" fillId="2" borderId="0" xfId="0" applyFill="1"/>
    <xf numFmtId="168" fontId="0" fillId="2" borderId="0" xfId="0" applyNumberFormat="1" applyFill="1"/>
    <xf numFmtId="0" fontId="0" fillId="2" borderId="0" xfId="0" applyFill="1" applyAlignment="1">
      <alignment wrapText="1"/>
    </xf>
    <xf numFmtId="0" fontId="2" fillId="2" borderId="0" xfId="0" applyFont="1" applyFill="1"/>
    <xf numFmtId="0" fontId="0" fillId="0" borderId="0" xfId="0" applyFill="1"/>
    <xf numFmtId="167" fontId="0" fillId="0" borderId="0" xfId="1" applyFont="1"/>
    <xf numFmtId="166" fontId="0" fillId="0" borderId="0" xfId="2" applyFont="1"/>
    <xf numFmtId="169" fontId="0" fillId="2" borderId="0" xfId="0" applyNumberFormat="1" applyFill="1"/>
    <xf numFmtId="0" fontId="3" fillId="0" borderId="0" xfId="0" applyFont="1"/>
    <xf numFmtId="10" fontId="0" fillId="0" borderId="0" xfId="1" applyNumberFormat="1" applyFont="1"/>
    <xf numFmtId="167" fontId="0" fillId="2" borderId="0" xfId="1" applyFont="1" applyFill="1"/>
    <xf numFmtId="167" fontId="0" fillId="0" borderId="1" xfId="1" applyFont="1" applyBorder="1"/>
    <xf numFmtId="0" fontId="0" fillId="0" borderId="1" xfId="0" applyBorder="1" applyAlignment="1">
      <alignment horizontal="center"/>
    </xf>
    <xf numFmtId="170" fontId="0" fillId="0" borderId="1" xfId="1" applyNumberFormat="1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2" xfId="0" applyFont="1" applyBorder="1" applyAlignment="1">
      <alignment horizontal="center"/>
    </xf>
    <xf numFmtId="164" fontId="0" fillId="2" borderId="2" xfId="0" applyNumberFormat="1" applyFill="1" applyBorder="1"/>
    <xf numFmtId="164" fontId="0" fillId="0" borderId="0" xfId="0" applyNumberFormat="1"/>
    <xf numFmtId="0" fontId="4" fillId="0" borderId="0" xfId="0" applyFont="1"/>
    <xf numFmtId="0" fontId="0" fillId="0" borderId="2" xfId="0" applyBorder="1" applyAlignment="1">
      <alignment horizontal="center"/>
    </xf>
    <xf numFmtId="164" fontId="0" fillId="2" borderId="0" xfId="0" applyNumberFormat="1" applyFill="1"/>
    <xf numFmtId="1" fontId="0" fillId="0" borderId="0" xfId="0" applyNumberFormat="1"/>
    <xf numFmtId="170" fontId="0" fillId="0" borderId="0" xfId="1" applyNumberFormat="1" applyFont="1"/>
    <xf numFmtId="0" fontId="0" fillId="0" borderId="2" xfId="0" applyBorder="1"/>
    <xf numFmtId="167" fontId="0" fillId="0" borderId="2" xfId="1" applyFont="1" applyBorder="1"/>
    <xf numFmtId="0" fontId="0" fillId="0" borderId="3" xfId="0" applyBorder="1"/>
    <xf numFmtId="167" fontId="0" fillId="0" borderId="3" xfId="1" applyFont="1" applyBorder="1"/>
    <xf numFmtId="0" fontId="2" fillId="0" borderId="2" xfId="0" applyFont="1" applyBorder="1"/>
    <xf numFmtId="167" fontId="0" fillId="0" borderId="2" xfId="0" applyNumberFormat="1" applyBorder="1"/>
    <xf numFmtId="0" fontId="0" fillId="0" borderId="0" xfId="1" applyNumberFormat="1" applyFont="1"/>
    <xf numFmtId="171" fontId="0" fillId="2" borderId="0" xfId="1" applyNumberFormat="1" applyFont="1" applyFill="1"/>
    <xf numFmtId="167" fontId="0" fillId="2" borderId="0" xfId="0" applyNumberFormat="1" applyFill="1"/>
    <xf numFmtId="167" fontId="0" fillId="0" borderId="0" xfId="0" applyNumberFormat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95250</xdr:colOff>
      <xdr:row>13</xdr:row>
      <xdr:rowOff>177165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600" cy="26536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95250</xdr:colOff>
      <xdr:row>10</xdr:row>
      <xdr:rowOff>180340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600" cy="20853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95250</xdr:colOff>
      <xdr:row>32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91000"/>
          <a:ext cx="5943600" cy="2082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171450</xdr:colOff>
      <xdr:row>14</xdr:row>
      <xdr:rowOff>71120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600" cy="27381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2285638</xdr:colOff>
      <xdr:row>59</xdr:row>
      <xdr:rowOff>28500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001375"/>
          <a:ext cx="2895238" cy="60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381000</xdr:colOff>
      <xdr:row>16</xdr:row>
      <xdr:rowOff>112395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600" cy="31603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409575</xdr:colOff>
      <xdr:row>15</xdr:row>
      <xdr:rowOff>62865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600" cy="29203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333375</xdr:colOff>
      <xdr:row>20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600" cy="3838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3</xdr:col>
      <xdr:colOff>475870</xdr:colOff>
      <xdr:row>54</xdr:row>
      <xdr:rowOff>19000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906000"/>
          <a:ext cx="3038095" cy="40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457200</xdr:colOff>
      <xdr:row>16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600" cy="3114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81"/>
  <sheetViews>
    <sheetView tabSelected="1" topLeftCell="A80" workbookViewId="0">
      <selection activeCell="F38" sqref="F38"/>
    </sheetView>
  </sheetViews>
  <sheetFormatPr defaultRowHeight="15" x14ac:dyDescent="0.25"/>
  <cols>
    <col min="1" max="1" width="5.85546875" style="13" customWidth="1"/>
    <col min="3" max="3" width="21.28515625" customWidth="1"/>
    <col min="4" max="4" width="14.28515625" customWidth="1"/>
    <col min="5" max="5" width="13.28515625" style="14" customWidth="1"/>
    <col min="6" max="6" width="11.7109375" customWidth="1"/>
    <col min="7" max="9" width="10.140625" bestFit="1" customWidth="1"/>
  </cols>
  <sheetData>
    <row r="2" spans="1:4" x14ac:dyDescent="0.25">
      <c r="A2" s="13">
        <v>2</v>
      </c>
      <c r="B2" t="s">
        <v>80</v>
      </c>
      <c r="C2" t="s">
        <v>81</v>
      </c>
    </row>
    <row r="3" spans="1:4" x14ac:dyDescent="0.25">
      <c r="C3" t="s">
        <v>82</v>
      </c>
    </row>
    <row r="5" spans="1:4" x14ac:dyDescent="0.25">
      <c r="D5" s="9">
        <f>-1800+500*(1-21%)</f>
        <v>-1405</v>
      </c>
    </row>
    <row r="6" spans="1:4" x14ac:dyDescent="0.25">
      <c r="D6" s="15">
        <v>-1405</v>
      </c>
    </row>
    <row r="7" spans="1:4" x14ac:dyDescent="0.25">
      <c r="C7" t="s">
        <v>83</v>
      </c>
    </row>
    <row r="8" spans="1:4" x14ac:dyDescent="0.25">
      <c r="C8" t="s">
        <v>84</v>
      </c>
    </row>
    <row r="10" spans="1:4" x14ac:dyDescent="0.25">
      <c r="D10" s="9">
        <f>500*(1-21%)+21%*1800/6</f>
        <v>458</v>
      </c>
    </row>
    <row r="11" spans="1:4" x14ac:dyDescent="0.25">
      <c r="D11" s="15">
        <v>458</v>
      </c>
    </row>
    <row r="13" spans="1:4" x14ac:dyDescent="0.25">
      <c r="B13" t="s">
        <v>85</v>
      </c>
      <c r="C13" t="s">
        <v>86</v>
      </c>
    </row>
    <row r="15" spans="1:4" x14ac:dyDescent="0.25">
      <c r="D15" s="16">
        <f>-1405+458*(1-1/1.12^6)/0.12</f>
        <v>478.02455417322608</v>
      </c>
    </row>
    <row r="16" spans="1:4" x14ac:dyDescent="0.25">
      <c r="C16" t="s">
        <v>87</v>
      </c>
      <c r="D16" s="15">
        <v>478.02</v>
      </c>
    </row>
    <row r="17" spans="1:4" x14ac:dyDescent="0.25">
      <c r="D17" s="15"/>
    </row>
    <row r="18" spans="1:4" x14ac:dyDescent="0.25">
      <c r="B18" t="s">
        <v>88</v>
      </c>
      <c r="C18" t="s">
        <v>35</v>
      </c>
    </row>
    <row r="20" spans="1:4" x14ac:dyDescent="0.25">
      <c r="C20" t="s">
        <v>89</v>
      </c>
    </row>
    <row r="21" spans="1:4" x14ac:dyDescent="0.25">
      <c r="D21" s="9">
        <f>-1800*(1-21%)+500*(1-21%)</f>
        <v>-1027</v>
      </c>
    </row>
    <row r="23" spans="1:4" x14ac:dyDescent="0.25">
      <c r="C23" t="s">
        <v>90</v>
      </c>
    </row>
    <row r="25" spans="1:4" x14ac:dyDescent="0.25">
      <c r="D25">
        <f>500*(1-21%)</f>
        <v>395</v>
      </c>
    </row>
    <row r="27" spans="1:4" x14ac:dyDescent="0.25">
      <c r="D27" s="9">
        <f>-1027+395*(1-1/1.21^6)/0.12</f>
        <v>1215.8402250367421</v>
      </c>
    </row>
    <row r="29" spans="1:4" x14ac:dyDescent="0.25">
      <c r="C29" t="s">
        <v>35</v>
      </c>
      <c r="D29" s="15">
        <v>1215.8399999999999</v>
      </c>
    </row>
    <row r="32" spans="1:4" x14ac:dyDescent="0.25">
      <c r="A32" s="13">
        <v>3</v>
      </c>
      <c r="B32" t="s">
        <v>12</v>
      </c>
      <c r="C32" t="s">
        <v>91</v>
      </c>
    </row>
    <row r="33" spans="1:14" x14ac:dyDescent="0.25">
      <c r="H33">
        <v>300</v>
      </c>
      <c r="I33">
        <f>1.07^-1</f>
        <v>0.93457943925233644</v>
      </c>
      <c r="J33">
        <f>H33*I33</f>
        <v>280.37383177570092</v>
      </c>
    </row>
    <row r="34" spans="1:14" x14ac:dyDescent="0.25">
      <c r="C34" s="17" t="s">
        <v>92</v>
      </c>
      <c r="E34" s="18">
        <v>1.4285714285714286E-3</v>
      </c>
      <c r="F34" t="s">
        <v>93</v>
      </c>
      <c r="H34">
        <v>300</v>
      </c>
      <c r="I34">
        <f>1.07^-2</f>
        <v>0.87343872827321156</v>
      </c>
      <c r="J34">
        <f t="shared" ref="J34:J35" si="0">H34*I34</f>
        <v>262.03161848196345</v>
      </c>
    </row>
    <row r="35" spans="1:14" x14ac:dyDescent="0.25">
      <c r="C35" s="9">
        <f>300*((1-(1/(1+7%)^3))/7%)</f>
        <v>787.29481332492048</v>
      </c>
      <c r="H35">
        <v>300</v>
      </c>
      <c r="I35">
        <f>1.07^-3</f>
        <v>0.81629787689085187</v>
      </c>
      <c r="J35">
        <f t="shared" si="0"/>
        <v>244.88936306725557</v>
      </c>
    </row>
    <row r="36" spans="1:14" x14ac:dyDescent="0.25">
      <c r="J36">
        <f>J33+J34+J35</f>
        <v>787.29481332491991</v>
      </c>
    </row>
    <row r="37" spans="1:14" x14ac:dyDescent="0.25">
      <c r="C37" s="15">
        <v>787.29</v>
      </c>
    </row>
    <row r="40" spans="1:14" x14ac:dyDescent="0.25">
      <c r="A40" s="9"/>
      <c r="B40" s="9" t="s">
        <v>13</v>
      </c>
      <c r="C40" s="9" t="s">
        <v>163</v>
      </c>
      <c r="D40" s="9" t="s">
        <v>164</v>
      </c>
      <c r="E40" s="19" t="s">
        <v>2</v>
      </c>
      <c r="F40" s="9" t="s">
        <v>165</v>
      </c>
      <c r="G40" s="9"/>
      <c r="H40" s="9"/>
      <c r="I40" s="9"/>
      <c r="J40" s="9"/>
      <c r="K40" s="9"/>
      <c r="L40" s="9"/>
      <c r="M40" s="9"/>
      <c r="N40" s="9"/>
    </row>
    <row r="41" spans="1:14" x14ac:dyDescent="0.25">
      <c r="A41" s="9"/>
      <c r="B41" s="9"/>
      <c r="C41" s="9">
        <v>1</v>
      </c>
      <c r="D41" s="9"/>
      <c r="E41" s="1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25">
      <c r="A42" s="9"/>
      <c r="B42" s="9"/>
      <c r="C42" s="9">
        <v>2</v>
      </c>
      <c r="D42" s="9">
        <v>300</v>
      </c>
      <c r="E42" s="39">
        <f>1.07^-C42</f>
        <v>0.87343872827321156</v>
      </c>
      <c r="F42" s="40">
        <f>D42*E42</f>
        <v>262.03161848196345</v>
      </c>
      <c r="G42" s="9"/>
      <c r="H42" s="9"/>
      <c r="I42" s="9"/>
      <c r="J42" s="9"/>
      <c r="K42" s="9"/>
      <c r="L42" s="9"/>
      <c r="M42" s="9"/>
      <c r="N42" s="9"/>
    </row>
    <row r="43" spans="1:14" x14ac:dyDescent="0.25">
      <c r="A43" s="9"/>
      <c r="B43" s="9"/>
      <c r="C43" s="9">
        <v>3</v>
      </c>
      <c r="D43" s="9">
        <v>300</v>
      </c>
      <c r="E43" s="39">
        <f t="shared" ref="E43:E44" si="1">1.07^-C43</f>
        <v>0.81629787689085187</v>
      </c>
      <c r="F43" s="40">
        <f t="shared" ref="F43:F44" si="2">D43*E43</f>
        <v>244.88936306725557</v>
      </c>
      <c r="G43" s="9"/>
      <c r="H43" s="9"/>
      <c r="I43" s="9"/>
      <c r="J43" s="9"/>
      <c r="K43" s="9"/>
      <c r="L43" s="9"/>
      <c r="M43" s="9"/>
      <c r="N43" s="9"/>
    </row>
    <row r="44" spans="1:14" x14ac:dyDescent="0.25">
      <c r="A44" s="9"/>
      <c r="B44" s="9"/>
      <c r="C44" s="9">
        <v>4</v>
      </c>
      <c r="D44" s="9">
        <v>300</v>
      </c>
      <c r="E44" s="39">
        <f t="shared" si="1"/>
        <v>0.7628952120475252</v>
      </c>
      <c r="F44" s="40">
        <f t="shared" si="2"/>
        <v>228.86856361425757</v>
      </c>
      <c r="G44" s="9"/>
      <c r="H44" s="9"/>
      <c r="I44" s="9"/>
      <c r="J44" s="9"/>
      <c r="K44" s="9"/>
      <c r="L44" s="9"/>
      <c r="M44" s="9"/>
      <c r="N44" s="9"/>
    </row>
    <row r="45" spans="1:14" x14ac:dyDescent="0.25">
      <c r="C45" s="9" t="s">
        <v>35</v>
      </c>
      <c r="D45" s="9"/>
      <c r="E45" s="19"/>
      <c r="F45" s="40">
        <f>F42+F43+F44</f>
        <v>735.78954516347665</v>
      </c>
      <c r="G45" s="9"/>
      <c r="H45" s="9"/>
      <c r="I45" s="9"/>
      <c r="J45" s="9"/>
      <c r="K45" s="9"/>
      <c r="L45" s="9"/>
      <c r="M45" s="9"/>
      <c r="N45" s="9"/>
    </row>
    <row r="46" spans="1:14" x14ac:dyDescent="0.25">
      <c r="C46" s="41">
        <f>F45</f>
        <v>735.78954516347665</v>
      </c>
    </row>
    <row r="47" spans="1:14" x14ac:dyDescent="0.25">
      <c r="A47" s="13">
        <v>4</v>
      </c>
      <c r="C47" t="s">
        <v>94</v>
      </c>
    </row>
    <row r="49" spans="3:3" x14ac:dyDescent="0.25">
      <c r="C49" s="9" t="s">
        <v>95</v>
      </c>
    </row>
    <row r="50" spans="3:3" x14ac:dyDescent="0.25">
      <c r="C50" s="9" t="s">
        <v>96</v>
      </c>
    </row>
    <row r="51" spans="3:3" x14ac:dyDescent="0.25">
      <c r="C51" s="9" t="s">
        <v>97</v>
      </c>
    </row>
    <row r="52" spans="3:3" x14ac:dyDescent="0.25">
      <c r="C52" s="9" t="s">
        <v>98</v>
      </c>
    </row>
    <row r="53" spans="3:3" x14ac:dyDescent="0.25">
      <c r="C53" t="s">
        <v>99</v>
      </c>
    </row>
    <row r="56" spans="3:3" x14ac:dyDescent="0.25">
      <c r="C56" s="9" t="s">
        <v>100</v>
      </c>
    </row>
    <row r="57" spans="3:3" x14ac:dyDescent="0.25">
      <c r="C57" s="9" t="s">
        <v>101</v>
      </c>
    </row>
    <row r="58" spans="3:3" x14ac:dyDescent="0.25">
      <c r="C58" s="9" t="s">
        <v>102</v>
      </c>
    </row>
    <row r="59" spans="3:3" x14ac:dyDescent="0.25">
      <c r="C59" s="9" t="s">
        <v>103</v>
      </c>
    </row>
    <row r="60" spans="3:3" x14ac:dyDescent="0.25">
      <c r="C60" t="s">
        <v>104</v>
      </c>
    </row>
    <row r="63" spans="3:3" x14ac:dyDescent="0.25">
      <c r="C63" s="9" t="s">
        <v>105</v>
      </c>
    </row>
    <row r="64" spans="3:3" x14ac:dyDescent="0.25">
      <c r="C64" s="9" t="s">
        <v>106</v>
      </c>
    </row>
    <row r="65" spans="1:6" x14ac:dyDescent="0.25">
      <c r="C65" s="9" t="s">
        <v>107</v>
      </c>
    </row>
    <row r="66" spans="1:6" x14ac:dyDescent="0.25">
      <c r="C66" s="9" t="s">
        <v>108</v>
      </c>
    </row>
    <row r="67" spans="1:6" x14ac:dyDescent="0.25">
      <c r="C67" t="s">
        <v>109</v>
      </c>
    </row>
    <row r="69" spans="1:6" x14ac:dyDescent="0.25">
      <c r="C69" s="4" t="s">
        <v>91</v>
      </c>
      <c r="D69" s="4" t="s">
        <v>0</v>
      </c>
      <c r="E69" s="20" t="s">
        <v>110</v>
      </c>
      <c r="F69" s="4" t="s">
        <v>111</v>
      </c>
    </row>
    <row r="70" spans="1:6" x14ac:dyDescent="0.25">
      <c r="C70" s="21">
        <v>350</v>
      </c>
      <c r="D70" s="21">
        <v>11</v>
      </c>
      <c r="E70" s="22">
        <v>539</v>
      </c>
      <c r="F70" s="23">
        <v>0.04</v>
      </c>
    </row>
    <row r="71" spans="1:6" x14ac:dyDescent="0.25">
      <c r="C71" s="21">
        <v>158</v>
      </c>
      <c r="D71" s="21">
        <v>4</v>
      </c>
      <c r="E71" s="22">
        <v>207</v>
      </c>
      <c r="F71" s="23">
        <v>7.0000000000000007E-2</v>
      </c>
    </row>
    <row r="72" spans="1:6" x14ac:dyDescent="0.25">
      <c r="C72" s="21">
        <v>250</v>
      </c>
      <c r="D72" s="21">
        <v>7</v>
      </c>
      <c r="E72" s="22">
        <v>250</v>
      </c>
      <c r="F72" s="23">
        <v>0</v>
      </c>
    </row>
    <row r="76" spans="1:6" x14ac:dyDescent="0.25">
      <c r="A76" s="13">
        <v>5</v>
      </c>
      <c r="C76" t="s">
        <v>112</v>
      </c>
    </row>
    <row r="78" spans="1:6" x14ac:dyDescent="0.25">
      <c r="C78" t="s">
        <v>113</v>
      </c>
    </row>
    <row r="79" spans="1:6" x14ac:dyDescent="0.25">
      <c r="C79" t="s">
        <v>112</v>
      </c>
    </row>
    <row r="80" spans="1:6" x14ac:dyDescent="0.25">
      <c r="C80" t="s">
        <v>114</v>
      </c>
    </row>
    <row r="82" spans="2:5" x14ac:dyDescent="0.25">
      <c r="B82" t="s">
        <v>12</v>
      </c>
      <c r="C82" t="s">
        <v>115</v>
      </c>
    </row>
    <row r="84" spans="2:5" x14ac:dyDescent="0.25">
      <c r="C84" t="s">
        <v>112</v>
      </c>
    </row>
    <row r="85" spans="2:5" x14ac:dyDescent="0.25">
      <c r="C85" s="9" t="s">
        <v>116</v>
      </c>
      <c r="D85" s="9"/>
      <c r="E85" s="19"/>
    </row>
    <row r="86" spans="2:5" x14ac:dyDescent="0.25">
      <c r="D86" s="14">
        <f>1800*(1+3%)</f>
        <v>1854</v>
      </c>
    </row>
    <row r="88" spans="2:5" x14ac:dyDescent="0.25">
      <c r="B88" t="s">
        <v>13</v>
      </c>
      <c r="C88" s="9" t="s">
        <v>117</v>
      </c>
      <c r="D88" s="9"/>
      <c r="E88" s="19"/>
    </row>
    <row r="89" spans="2:5" x14ac:dyDescent="0.25">
      <c r="D89" s="15">
        <f>1800*(1+3%)^2</f>
        <v>1909.62</v>
      </c>
    </row>
    <row r="91" spans="2:5" x14ac:dyDescent="0.25">
      <c r="C91" t="s">
        <v>118</v>
      </c>
    </row>
    <row r="92" spans="2:5" x14ac:dyDescent="0.25">
      <c r="D92" s="15">
        <f>1909.62-1800</f>
        <v>109.61999999999989</v>
      </c>
    </row>
    <row r="94" spans="2:5" x14ac:dyDescent="0.25">
      <c r="B94" t="s">
        <v>14</v>
      </c>
      <c r="C94" t="s">
        <v>119</v>
      </c>
    </row>
    <row r="95" spans="2:5" x14ac:dyDescent="0.25">
      <c r="C95" t="s">
        <v>112</v>
      </c>
    </row>
    <row r="97" spans="1:4" x14ac:dyDescent="0.25">
      <c r="C97" s="9" t="s">
        <v>120</v>
      </c>
      <c r="D97" s="9"/>
    </row>
    <row r="98" spans="1:4" x14ac:dyDescent="0.25">
      <c r="D98" s="15">
        <f>1800*(1+3%)^10</f>
        <v>2419.0494828194192</v>
      </c>
    </row>
    <row r="100" spans="1:4" x14ac:dyDescent="0.25">
      <c r="C100" s="9" t="s">
        <v>121</v>
      </c>
      <c r="D100" s="9"/>
    </row>
    <row r="102" spans="1:4" x14ac:dyDescent="0.25">
      <c r="D102" s="15">
        <f>2419.049-1800</f>
        <v>619.04899999999998</v>
      </c>
    </row>
    <row r="104" spans="1:4" x14ac:dyDescent="0.25">
      <c r="A104" s="13">
        <v>6</v>
      </c>
      <c r="C104" t="s">
        <v>122</v>
      </c>
    </row>
    <row r="106" spans="1:4" x14ac:dyDescent="0.25">
      <c r="B106" t="s">
        <v>12</v>
      </c>
      <c r="C106" t="s">
        <v>123</v>
      </c>
    </row>
    <row r="108" spans="1:4" x14ac:dyDescent="0.25">
      <c r="C108" s="9" t="s">
        <v>124</v>
      </c>
    </row>
    <row r="109" spans="1:4" x14ac:dyDescent="0.25">
      <c r="C109" s="15">
        <f>105*(1.08)^10</f>
        <v>226.6871247136427</v>
      </c>
    </row>
    <row r="111" spans="1:4" x14ac:dyDescent="0.25">
      <c r="B111" t="s">
        <v>13</v>
      </c>
      <c r="C111" t="s">
        <v>125</v>
      </c>
    </row>
    <row r="113" spans="1:4" x14ac:dyDescent="0.25">
      <c r="C113" s="9" t="s">
        <v>126</v>
      </c>
    </row>
    <row r="114" spans="1:4" x14ac:dyDescent="0.25">
      <c r="C114" s="15">
        <f>105*(1.08)^20</f>
        <v>489.40050010417718</v>
      </c>
    </row>
    <row r="117" spans="1:4" x14ac:dyDescent="0.25">
      <c r="B117" t="s">
        <v>14</v>
      </c>
      <c r="C117" t="s">
        <v>127</v>
      </c>
    </row>
    <row r="119" spans="1:4" x14ac:dyDescent="0.25">
      <c r="C119" s="9" t="s">
        <v>128</v>
      </c>
    </row>
    <row r="120" spans="1:4" x14ac:dyDescent="0.25">
      <c r="C120" s="15">
        <f>105*(1.04)^10</f>
        <v>155.42564991642618</v>
      </c>
    </row>
    <row r="122" spans="1:4" x14ac:dyDescent="0.25">
      <c r="B122" t="s">
        <v>15</v>
      </c>
      <c r="C122" t="s">
        <v>129</v>
      </c>
    </row>
    <row r="124" spans="1:4" x14ac:dyDescent="0.25">
      <c r="C124" s="9" t="s">
        <v>130</v>
      </c>
    </row>
    <row r="125" spans="1:4" x14ac:dyDescent="0.25">
      <c r="C125" s="15">
        <f>105*(1.04)^20</f>
        <v>230.06793001850923</v>
      </c>
    </row>
    <row r="128" spans="1:4" x14ac:dyDescent="0.25">
      <c r="A128" s="13">
        <v>7</v>
      </c>
      <c r="B128" t="s">
        <v>12</v>
      </c>
      <c r="C128" t="s">
        <v>131</v>
      </c>
      <c r="D128" s="24" t="s">
        <v>132</v>
      </c>
    </row>
    <row r="129" spans="2:6" x14ac:dyDescent="0.25">
      <c r="D129" s="3" t="s">
        <v>133</v>
      </c>
    </row>
    <row r="132" spans="2:6" x14ac:dyDescent="0.25">
      <c r="C132" t="s">
        <v>134</v>
      </c>
      <c r="D132" s="25">
        <v>3300000</v>
      </c>
    </row>
    <row r="133" spans="2:6" x14ac:dyDescent="0.25">
      <c r="D133" s="9" t="s">
        <v>135</v>
      </c>
    </row>
    <row r="134" spans="2:6" x14ac:dyDescent="0.25">
      <c r="D134" s="9"/>
    </row>
    <row r="136" spans="2:6" x14ac:dyDescent="0.25">
      <c r="C136" t="s">
        <v>136</v>
      </c>
      <c r="D136" s="25">
        <v>3000000</v>
      </c>
    </row>
    <row r="137" spans="2:6" x14ac:dyDescent="0.25">
      <c r="D137" s="9">
        <f>(1+0.09)^6</f>
        <v>1.6771001108410006</v>
      </c>
    </row>
    <row r="139" spans="2:6" x14ac:dyDescent="0.25">
      <c r="D139" s="26">
        <f>D136/D137</f>
        <v>1788801.9806376474</v>
      </c>
    </row>
    <row r="141" spans="2:6" x14ac:dyDescent="0.25">
      <c r="C141" t="s">
        <v>137</v>
      </c>
      <c r="F141" s="27"/>
    </row>
    <row r="143" spans="2:6" x14ac:dyDescent="0.25">
      <c r="B143" t="s">
        <v>13</v>
      </c>
      <c r="C143" t="s">
        <v>138</v>
      </c>
    </row>
    <row r="146" spans="2:8" x14ac:dyDescent="0.25">
      <c r="B146" t="s">
        <v>139</v>
      </c>
      <c r="C146" t="s">
        <v>140</v>
      </c>
      <c r="E146" s="28" t="s">
        <v>141</v>
      </c>
    </row>
    <row r="147" spans="2:8" x14ac:dyDescent="0.25">
      <c r="E147" s="3" t="s">
        <v>142</v>
      </c>
    </row>
    <row r="149" spans="2:8" x14ac:dyDescent="0.25">
      <c r="C149" t="s">
        <v>143</v>
      </c>
    </row>
    <row r="150" spans="2:8" x14ac:dyDescent="0.25">
      <c r="D150" t="s">
        <v>144</v>
      </c>
    </row>
    <row r="151" spans="2:8" x14ac:dyDescent="0.25">
      <c r="D151" t="s">
        <v>145</v>
      </c>
    </row>
    <row r="152" spans="2:8" x14ac:dyDescent="0.25">
      <c r="D152" t="s">
        <v>146</v>
      </c>
    </row>
    <row r="154" spans="2:8" x14ac:dyDescent="0.25">
      <c r="D154" s="9" t="s">
        <v>147</v>
      </c>
      <c r="E154" s="19"/>
    </row>
    <row r="156" spans="2:8" x14ac:dyDescent="0.25">
      <c r="D156" s="15">
        <f>130000*(1-(1/1.6771))/0.09</f>
        <v>583169.35980760446</v>
      </c>
      <c r="H156" s="1"/>
    </row>
    <row r="158" spans="2:8" x14ac:dyDescent="0.25">
      <c r="C158" t="s">
        <v>148</v>
      </c>
      <c r="D158" s="29" t="s">
        <v>149</v>
      </c>
      <c r="E158" s="19"/>
    </row>
    <row r="159" spans="2:8" x14ac:dyDescent="0.25">
      <c r="H159" s="1"/>
    </row>
    <row r="160" spans="2:8" x14ac:dyDescent="0.25">
      <c r="D160" s="15">
        <f>1788801.981+583169.36</f>
        <v>2371971.341</v>
      </c>
    </row>
    <row r="163" spans="1:9" x14ac:dyDescent="0.25">
      <c r="H163" s="30"/>
    </row>
    <row r="164" spans="1:9" x14ac:dyDescent="0.25">
      <c r="B164" t="s">
        <v>150</v>
      </c>
      <c r="C164" t="s">
        <v>151</v>
      </c>
    </row>
    <row r="167" spans="1:9" x14ac:dyDescent="0.25">
      <c r="A167" s="13">
        <v>8</v>
      </c>
      <c r="C167" t="s">
        <v>152</v>
      </c>
      <c r="D167">
        <v>0</v>
      </c>
      <c r="E167" s="31">
        <v>1</v>
      </c>
      <c r="F167">
        <v>2</v>
      </c>
      <c r="G167">
        <v>3</v>
      </c>
      <c r="H167">
        <v>4</v>
      </c>
      <c r="I167">
        <v>5</v>
      </c>
    </row>
    <row r="168" spans="1:9" x14ac:dyDescent="0.25">
      <c r="C168" t="s">
        <v>153</v>
      </c>
      <c r="D168" s="14">
        <v>-32000</v>
      </c>
    </row>
    <row r="169" spans="1:9" x14ac:dyDescent="0.25">
      <c r="C169" t="s">
        <v>154</v>
      </c>
      <c r="E169" s="14">
        <v>16000</v>
      </c>
      <c r="F169">
        <v>16000</v>
      </c>
      <c r="G169">
        <v>16000</v>
      </c>
      <c r="H169">
        <v>16000</v>
      </c>
      <c r="I169">
        <v>16000</v>
      </c>
    </row>
    <row r="170" spans="1:9" x14ac:dyDescent="0.25">
      <c r="B170" t="s">
        <v>155</v>
      </c>
      <c r="C170" s="32" t="s">
        <v>56</v>
      </c>
      <c r="D170" s="32"/>
      <c r="E170" s="33">
        <v>10666.67</v>
      </c>
      <c r="F170" s="33">
        <v>10666.67</v>
      </c>
      <c r="G170" s="33">
        <v>10666.67</v>
      </c>
      <c r="H170" s="33">
        <v>0</v>
      </c>
      <c r="I170" s="33">
        <v>0</v>
      </c>
    </row>
    <row r="171" spans="1:9" x14ac:dyDescent="0.25">
      <c r="C171" t="s">
        <v>156</v>
      </c>
      <c r="D171" s="34"/>
      <c r="E171" s="35">
        <f>E169-E170</f>
        <v>5333.33</v>
      </c>
      <c r="F171" s="35">
        <f t="shared" ref="F171:I171" si="3">F169-F170</f>
        <v>5333.33</v>
      </c>
      <c r="G171" s="35">
        <f t="shared" si="3"/>
        <v>5333.33</v>
      </c>
      <c r="H171" s="35">
        <f t="shared" si="3"/>
        <v>16000</v>
      </c>
      <c r="I171" s="35">
        <f t="shared" si="3"/>
        <v>16000</v>
      </c>
    </row>
    <row r="172" spans="1:9" x14ac:dyDescent="0.25">
      <c r="B172" t="s">
        <v>155</v>
      </c>
      <c r="C172" s="32" t="s">
        <v>157</v>
      </c>
      <c r="D172" s="32"/>
      <c r="E172" s="33">
        <f>E171*0.3</f>
        <v>1599.999</v>
      </c>
      <c r="F172" s="33">
        <f t="shared" ref="F172:I172" si="4">F171*0.3</f>
        <v>1599.999</v>
      </c>
      <c r="G172" s="33">
        <f t="shared" si="4"/>
        <v>1599.999</v>
      </c>
      <c r="H172" s="33">
        <f t="shared" si="4"/>
        <v>4800</v>
      </c>
      <c r="I172" s="33">
        <f t="shared" si="4"/>
        <v>4800</v>
      </c>
    </row>
    <row r="173" spans="1:9" x14ac:dyDescent="0.25">
      <c r="C173" t="s">
        <v>158</v>
      </c>
      <c r="E173" s="14">
        <f>E171-E172</f>
        <v>3733.3310000000001</v>
      </c>
      <c r="F173" s="14">
        <f t="shared" ref="F173:I173" si="5">F171-F172</f>
        <v>3733.3310000000001</v>
      </c>
      <c r="G173" s="14">
        <f t="shared" si="5"/>
        <v>3733.3310000000001</v>
      </c>
      <c r="H173" s="14">
        <f t="shared" si="5"/>
        <v>11200</v>
      </c>
      <c r="I173" s="14">
        <f t="shared" si="5"/>
        <v>11200</v>
      </c>
    </row>
    <row r="174" spans="1:9" x14ac:dyDescent="0.25">
      <c r="B174" t="s">
        <v>159</v>
      </c>
      <c r="C174" s="32" t="s">
        <v>56</v>
      </c>
      <c r="D174" s="32"/>
      <c r="E174" s="33">
        <v>10666.67</v>
      </c>
      <c r="F174" s="33">
        <v>10666.67</v>
      </c>
      <c r="G174" s="33">
        <v>10666.67</v>
      </c>
      <c r="H174" s="33">
        <v>0</v>
      </c>
      <c r="I174" s="33">
        <v>0</v>
      </c>
    </row>
    <row r="175" spans="1:9" x14ac:dyDescent="0.25">
      <c r="C175" s="2" t="s">
        <v>160</v>
      </c>
      <c r="D175" s="14">
        <f>D168</f>
        <v>-32000</v>
      </c>
      <c r="E175" s="14">
        <f>SUM(E173:E174)</f>
        <v>14400.001</v>
      </c>
      <c r="F175" s="14">
        <f t="shared" ref="F175:I175" si="6">SUM(F173:F174)</f>
        <v>14400.001</v>
      </c>
      <c r="G175" s="14">
        <f t="shared" si="6"/>
        <v>14400.001</v>
      </c>
      <c r="H175" s="14">
        <f t="shared" si="6"/>
        <v>11200</v>
      </c>
      <c r="I175" s="14">
        <f t="shared" si="6"/>
        <v>11200</v>
      </c>
    </row>
    <row r="176" spans="1:9" x14ac:dyDescent="0.25">
      <c r="B176" t="s">
        <v>159</v>
      </c>
      <c r="C176" t="s">
        <v>161</v>
      </c>
      <c r="D176" s="32"/>
      <c r="E176" s="33">
        <v>0</v>
      </c>
      <c r="F176" s="33">
        <v>0</v>
      </c>
      <c r="G176" s="33">
        <v>0</v>
      </c>
      <c r="H176" s="33">
        <v>0</v>
      </c>
      <c r="I176" s="33">
        <v>5600</v>
      </c>
    </row>
    <row r="177" spans="3:9" x14ac:dyDescent="0.25">
      <c r="C177" s="36" t="s">
        <v>162</v>
      </c>
      <c r="D177" s="37">
        <f>SUM(D175:D176)</f>
        <v>-32000</v>
      </c>
      <c r="E177" s="37">
        <f t="shared" ref="E177:I177" si="7">SUM(E175:E176)</f>
        <v>14400.001</v>
      </c>
      <c r="F177" s="37">
        <f t="shared" si="7"/>
        <v>14400.001</v>
      </c>
      <c r="G177" s="37">
        <f t="shared" si="7"/>
        <v>14400.001</v>
      </c>
      <c r="H177" s="37">
        <f t="shared" si="7"/>
        <v>11200</v>
      </c>
      <c r="I177" s="37">
        <f t="shared" si="7"/>
        <v>16800</v>
      </c>
    </row>
    <row r="181" spans="3:9" x14ac:dyDescent="0.25">
      <c r="D181" s="38"/>
      <c r="E181" s="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6:H45"/>
  <sheetViews>
    <sheetView topLeftCell="A28" workbookViewId="0">
      <selection activeCell="G47" sqref="G47"/>
    </sheetView>
  </sheetViews>
  <sheetFormatPr defaultRowHeight="15" x14ac:dyDescent="0.25"/>
  <cols>
    <col min="1" max="1" width="14.5703125" customWidth="1"/>
  </cols>
  <sheetData>
    <row r="16" spans="1:1" x14ac:dyDescent="0.25">
      <c r="A16" t="s">
        <v>56</v>
      </c>
    </row>
    <row r="17" spans="1:8" x14ac:dyDescent="0.25">
      <c r="A17" t="s">
        <v>71</v>
      </c>
      <c r="B17">
        <v>32000</v>
      </c>
    </row>
    <row r="18" spans="1:8" x14ac:dyDescent="0.25">
      <c r="A18" t="s">
        <v>72</v>
      </c>
      <c r="B18">
        <v>8000</v>
      </c>
    </row>
    <row r="19" spans="1:8" x14ac:dyDescent="0.25">
      <c r="A19" t="s">
        <v>73</v>
      </c>
      <c r="B19">
        <v>3</v>
      </c>
    </row>
    <row r="20" spans="1:8" x14ac:dyDescent="0.25">
      <c r="A20" t="s">
        <v>56</v>
      </c>
      <c r="B20">
        <f>(B17-B18)/B19</f>
        <v>8000</v>
      </c>
    </row>
    <row r="22" spans="1:8" x14ac:dyDescent="0.25">
      <c r="A22" s="2" t="s">
        <v>5</v>
      </c>
    </row>
    <row r="23" spans="1:8" x14ac:dyDescent="0.25">
      <c r="A23" s="9" t="s">
        <v>0</v>
      </c>
      <c r="B23" s="9" t="s">
        <v>74</v>
      </c>
      <c r="C23" s="9" t="s">
        <v>75</v>
      </c>
      <c r="D23" s="9"/>
      <c r="E23" s="9" t="s">
        <v>58</v>
      </c>
      <c r="F23" t="s">
        <v>76</v>
      </c>
    </row>
    <row r="24" spans="1:8" x14ac:dyDescent="0.25">
      <c r="A24" s="9">
        <v>0</v>
      </c>
      <c r="B24" s="9"/>
      <c r="C24" s="9">
        <v>-32000</v>
      </c>
      <c r="D24" s="9">
        <f>B24-C24</f>
        <v>32000</v>
      </c>
      <c r="E24" s="9"/>
      <c r="F24">
        <f>-D24-E24</f>
        <v>-32000</v>
      </c>
    </row>
    <row r="25" spans="1:8" x14ac:dyDescent="0.25">
      <c r="A25" s="9">
        <f>A24+1</f>
        <v>1</v>
      </c>
      <c r="B25" s="9">
        <v>16000</v>
      </c>
      <c r="C25" s="9">
        <v>8000</v>
      </c>
      <c r="D25" s="9">
        <f t="shared" ref="D25:D27" si="0">B25-C25</f>
        <v>8000</v>
      </c>
      <c r="E25" s="9">
        <f>0.3*D25</f>
        <v>2400</v>
      </c>
      <c r="F25">
        <f>D25-E25</f>
        <v>5600</v>
      </c>
    </row>
    <row r="26" spans="1:8" x14ac:dyDescent="0.25">
      <c r="A26" s="9">
        <v>2</v>
      </c>
      <c r="B26" s="9">
        <v>16000</v>
      </c>
      <c r="C26" s="9">
        <v>8000</v>
      </c>
      <c r="D26" s="9">
        <f t="shared" si="0"/>
        <v>8000</v>
      </c>
      <c r="E26" s="9">
        <f>0.3*D26</f>
        <v>2400</v>
      </c>
      <c r="F26">
        <f>D26-E26</f>
        <v>5600</v>
      </c>
    </row>
    <row r="27" spans="1:8" x14ac:dyDescent="0.25">
      <c r="A27" s="9">
        <v>3</v>
      </c>
      <c r="B27" s="9">
        <f>8000+16000</f>
        <v>24000</v>
      </c>
      <c r="C27" s="9">
        <v>8000</v>
      </c>
      <c r="D27" s="9">
        <f t="shared" si="0"/>
        <v>16000</v>
      </c>
      <c r="E27" s="9">
        <f t="shared" ref="E27" si="1">0.3*D27</f>
        <v>4800</v>
      </c>
      <c r="F27">
        <f t="shared" ref="F27" si="2">D27-E27</f>
        <v>11200</v>
      </c>
    </row>
    <row r="30" spans="1:8" x14ac:dyDescent="0.25">
      <c r="A30" s="2" t="s">
        <v>4</v>
      </c>
      <c r="G30" t="s">
        <v>77</v>
      </c>
    </row>
    <row r="31" spans="1:8" x14ac:dyDescent="0.25">
      <c r="A31" s="9" t="s">
        <v>0</v>
      </c>
      <c r="B31" s="9" t="s">
        <v>74</v>
      </c>
      <c r="C31" s="9" t="s">
        <v>75</v>
      </c>
      <c r="D31" s="9"/>
      <c r="E31" s="9" t="s">
        <v>58</v>
      </c>
      <c r="F31" s="9" t="s">
        <v>76</v>
      </c>
      <c r="G31" s="9"/>
      <c r="H31" s="2" t="s">
        <v>78</v>
      </c>
    </row>
    <row r="32" spans="1:8" x14ac:dyDescent="0.25">
      <c r="A32" s="9">
        <v>0</v>
      </c>
      <c r="B32" s="9"/>
      <c r="C32" s="9">
        <v>-32000</v>
      </c>
      <c r="D32" s="9">
        <f>C32</f>
        <v>-32000</v>
      </c>
      <c r="E32" s="9"/>
      <c r="F32" s="9">
        <f>D32-E32</f>
        <v>-32000</v>
      </c>
      <c r="G32" s="9"/>
      <c r="H32">
        <f>F32+G32</f>
        <v>-32000</v>
      </c>
    </row>
    <row r="33" spans="1:8" x14ac:dyDescent="0.25">
      <c r="A33" s="9">
        <f>A32+1</f>
        <v>1</v>
      </c>
      <c r="B33" s="9">
        <v>16000</v>
      </c>
      <c r="C33" s="9">
        <v>8000</v>
      </c>
      <c r="D33" s="9">
        <f t="shared" ref="D33:D35" si="3">B33-C33</f>
        <v>8000</v>
      </c>
      <c r="E33" s="9">
        <f>0.3*D33</f>
        <v>2400</v>
      </c>
      <c r="F33" s="9">
        <f>D33-E33</f>
        <v>5600</v>
      </c>
      <c r="G33" s="9">
        <f>C33</f>
        <v>8000</v>
      </c>
      <c r="H33">
        <f t="shared" ref="H33:H35" si="4">F33+G33</f>
        <v>13600</v>
      </c>
    </row>
    <row r="34" spans="1:8" x14ac:dyDescent="0.25">
      <c r="A34" s="9">
        <f t="shared" ref="A34:A35" si="5">A33+1</f>
        <v>2</v>
      </c>
      <c r="B34" s="9">
        <v>16000</v>
      </c>
      <c r="C34" s="9">
        <v>8000</v>
      </c>
      <c r="D34" s="9">
        <f t="shared" si="3"/>
        <v>8000</v>
      </c>
      <c r="E34" s="9">
        <f t="shared" ref="E34" si="6">0.3*D34</f>
        <v>2400</v>
      </c>
      <c r="F34" s="9">
        <f t="shared" ref="F34:F35" si="7">D34-E34</f>
        <v>5600</v>
      </c>
      <c r="G34" s="9">
        <f t="shared" ref="G34:G35" si="8">C34</f>
        <v>8000</v>
      </c>
      <c r="H34">
        <f t="shared" si="4"/>
        <v>13600</v>
      </c>
    </row>
    <row r="35" spans="1:8" x14ac:dyDescent="0.25">
      <c r="A35" s="9">
        <f t="shared" si="5"/>
        <v>3</v>
      </c>
      <c r="B35" s="9">
        <f>8000+16000</f>
        <v>24000</v>
      </c>
      <c r="C35" s="9">
        <v>8000</v>
      </c>
      <c r="D35" s="9">
        <f t="shared" si="3"/>
        <v>16000</v>
      </c>
      <c r="E35" s="9">
        <f>0.3*D35</f>
        <v>4800</v>
      </c>
      <c r="F35" s="9">
        <f t="shared" si="7"/>
        <v>11200</v>
      </c>
      <c r="G35" s="9">
        <f t="shared" si="8"/>
        <v>8000</v>
      </c>
      <c r="H35">
        <f t="shared" si="4"/>
        <v>19200</v>
      </c>
    </row>
    <row r="37" spans="1:8" x14ac:dyDescent="0.25">
      <c r="A37" s="2" t="s">
        <v>9</v>
      </c>
    </row>
    <row r="38" spans="1:8" x14ac:dyDescent="0.25">
      <c r="A38" s="9" t="s">
        <v>0</v>
      </c>
      <c r="B38" s="9" t="str">
        <f>H31</f>
        <v>Total cash flow</v>
      </c>
      <c r="C38" s="9" t="s">
        <v>2</v>
      </c>
      <c r="D38" s="9" t="s">
        <v>24</v>
      </c>
    </row>
    <row r="39" spans="1:8" x14ac:dyDescent="0.25">
      <c r="A39" s="9">
        <v>0</v>
      </c>
      <c r="B39" s="9">
        <f>H32</f>
        <v>-32000</v>
      </c>
      <c r="C39" s="10">
        <f>1.12^-A39</f>
        <v>1</v>
      </c>
      <c r="D39" s="9">
        <f>B39*C39</f>
        <v>-32000</v>
      </c>
    </row>
    <row r="40" spans="1:8" x14ac:dyDescent="0.25">
      <c r="A40" s="9">
        <f>A39+1</f>
        <v>1</v>
      </c>
      <c r="B40" s="9">
        <f t="shared" ref="B40:B42" si="9">H33</f>
        <v>13600</v>
      </c>
      <c r="C40" s="10">
        <f t="shared" ref="C40:C42" si="10">1.12^-A40</f>
        <v>0.89285714285714279</v>
      </c>
      <c r="D40" s="9">
        <f t="shared" ref="D40:D42" si="11">B40*C40</f>
        <v>12142.857142857141</v>
      </c>
    </row>
    <row r="41" spans="1:8" x14ac:dyDescent="0.25">
      <c r="A41" s="9">
        <f t="shared" ref="A41:A42" si="12">A40+1</f>
        <v>2</v>
      </c>
      <c r="B41" s="9">
        <f t="shared" si="9"/>
        <v>13600</v>
      </c>
      <c r="C41" s="10">
        <f t="shared" si="10"/>
        <v>0.79719387755102034</v>
      </c>
      <c r="D41" s="9">
        <f t="shared" si="11"/>
        <v>10841.836734693876</v>
      </c>
    </row>
    <row r="42" spans="1:8" x14ac:dyDescent="0.25">
      <c r="A42" s="9">
        <f t="shared" si="12"/>
        <v>3</v>
      </c>
      <c r="B42" s="9">
        <f t="shared" si="9"/>
        <v>19200</v>
      </c>
      <c r="C42" s="10">
        <f t="shared" si="10"/>
        <v>0.71178024781341087</v>
      </c>
      <c r="D42" s="9">
        <f t="shared" si="11"/>
        <v>13666.180758017488</v>
      </c>
    </row>
    <row r="43" spans="1:8" x14ac:dyDescent="0.25">
      <c r="A43" s="2" t="s">
        <v>35</v>
      </c>
      <c r="B43" s="2"/>
      <c r="C43" s="2"/>
      <c r="D43" s="2">
        <f>SUM(D39:D42)</f>
        <v>4650.8746355685053</v>
      </c>
    </row>
    <row r="45" spans="1:8" x14ac:dyDescent="0.25">
      <c r="A45" t="s">
        <v>79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2:E71"/>
  <sheetViews>
    <sheetView workbookViewId="0">
      <selection activeCell="G17" sqref="G17"/>
    </sheetView>
  </sheetViews>
  <sheetFormatPr defaultRowHeight="15" x14ac:dyDescent="0.25"/>
  <cols>
    <col min="2" max="2" width="28.140625" customWidth="1"/>
    <col min="3" max="3" width="13.85546875" customWidth="1"/>
  </cols>
  <sheetData>
    <row r="12" spans="1:4" x14ac:dyDescent="0.25">
      <c r="A12" s="2" t="s">
        <v>5</v>
      </c>
    </row>
    <row r="13" spans="1:4" x14ac:dyDescent="0.25">
      <c r="A13" s="9" t="s">
        <v>0</v>
      </c>
      <c r="B13" s="9" t="s">
        <v>1</v>
      </c>
      <c r="C13" s="9" t="s">
        <v>2</v>
      </c>
      <c r="D13" s="9"/>
    </row>
    <row r="14" spans="1:4" x14ac:dyDescent="0.25">
      <c r="A14" s="9">
        <v>0</v>
      </c>
      <c r="B14" s="9">
        <f>-510000</f>
        <v>-510000</v>
      </c>
      <c r="C14" s="10">
        <f>(1+0.11)^-A14</f>
        <v>1</v>
      </c>
      <c r="D14" s="9">
        <f>B14*C14</f>
        <v>-510000</v>
      </c>
    </row>
    <row r="15" spans="1:4" x14ac:dyDescent="0.25">
      <c r="A15" s="9">
        <v>1</v>
      </c>
      <c r="B15" s="9">
        <v>155000</v>
      </c>
      <c r="C15" s="10">
        <f t="shared" ref="C15:C17" si="0">(1+0.11)^-A15</f>
        <v>0.9009009009009008</v>
      </c>
      <c r="D15" s="9">
        <f t="shared" ref="D15:D17" si="1">B15*C15</f>
        <v>139639.63963963962</v>
      </c>
    </row>
    <row r="16" spans="1:4" x14ac:dyDescent="0.25">
      <c r="A16" s="9">
        <v>2</v>
      </c>
      <c r="B16" s="9">
        <v>215000</v>
      </c>
      <c r="C16" s="10">
        <f t="shared" si="0"/>
        <v>0.8116224332440547</v>
      </c>
      <c r="D16" s="9">
        <f t="shared" si="1"/>
        <v>174498.82314747176</v>
      </c>
    </row>
    <row r="17" spans="1:4" x14ac:dyDescent="0.25">
      <c r="A17" s="9">
        <v>3</v>
      </c>
      <c r="B17" s="9">
        <v>370000</v>
      </c>
      <c r="C17" s="10">
        <f t="shared" si="0"/>
        <v>0.73119138130095018</v>
      </c>
      <c r="D17" s="9">
        <f t="shared" si="1"/>
        <v>270540.8110813516</v>
      </c>
    </row>
    <row r="18" spans="1:4" x14ac:dyDescent="0.25">
      <c r="A18" s="2" t="s">
        <v>3</v>
      </c>
      <c r="B18" s="2"/>
      <c r="C18" s="2"/>
      <c r="D18" s="2">
        <f>D14+D15+D16+D17</f>
        <v>74679.273868463002</v>
      </c>
    </row>
    <row r="20" spans="1:4" x14ac:dyDescent="0.25">
      <c r="A20" s="2" t="s">
        <v>4</v>
      </c>
    </row>
    <row r="21" spans="1:4" x14ac:dyDescent="0.25">
      <c r="A21" t="s">
        <v>6</v>
      </c>
    </row>
    <row r="34" spans="1:5" x14ac:dyDescent="0.25">
      <c r="A34" s="2" t="s">
        <v>5</v>
      </c>
    </row>
    <row r="35" spans="1:5" x14ac:dyDescent="0.25">
      <c r="A35" s="9" t="s">
        <v>0</v>
      </c>
      <c r="B35" s="9" t="s">
        <v>1</v>
      </c>
      <c r="C35" s="9" t="s">
        <v>2</v>
      </c>
      <c r="D35" s="9"/>
    </row>
    <row r="36" spans="1:5" x14ac:dyDescent="0.25">
      <c r="A36" s="9">
        <v>1</v>
      </c>
      <c r="B36" s="9">
        <v>8700</v>
      </c>
      <c r="C36" s="10">
        <f>(1+0.08)^-A36</f>
        <v>0.92592592592592582</v>
      </c>
      <c r="D36" s="9">
        <f t="shared" ref="D36:D37" si="2">B36*C36</f>
        <v>8055.5555555555547</v>
      </c>
    </row>
    <row r="37" spans="1:5" x14ac:dyDescent="0.25">
      <c r="A37" s="9">
        <f>A36+1</f>
        <v>2</v>
      </c>
      <c r="B37" s="9">
        <v>8700</v>
      </c>
      <c r="C37" s="10">
        <f>(1+0.08)^-A37</f>
        <v>0.85733882030178321</v>
      </c>
      <c r="D37" s="9">
        <f t="shared" si="2"/>
        <v>7458.8477366255138</v>
      </c>
    </row>
    <row r="38" spans="1:5" x14ac:dyDescent="0.25">
      <c r="A38" s="9">
        <f t="shared" ref="A38:A42" si="3">A37+1</f>
        <v>3</v>
      </c>
      <c r="B38" s="9">
        <v>8700</v>
      </c>
      <c r="C38" s="10">
        <f t="shared" ref="C38:C42" si="4">(1+0.08)^-A38</f>
        <v>0.79383224102016958</v>
      </c>
      <c r="D38" s="9">
        <f t="shared" ref="D38:D42" si="5">B38*C38</f>
        <v>6906.3404968754758</v>
      </c>
    </row>
    <row r="39" spans="1:5" x14ac:dyDescent="0.25">
      <c r="A39" s="9">
        <f t="shared" si="3"/>
        <v>4</v>
      </c>
      <c r="B39" s="9">
        <v>8700</v>
      </c>
      <c r="C39" s="10">
        <f t="shared" si="4"/>
        <v>0.73502985279645328</v>
      </c>
      <c r="D39" s="9">
        <f t="shared" si="5"/>
        <v>6394.7597193291431</v>
      </c>
    </row>
    <row r="40" spans="1:5" x14ac:dyDescent="0.25">
      <c r="A40" s="9">
        <f t="shared" si="3"/>
        <v>5</v>
      </c>
      <c r="B40" s="9">
        <v>8700</v>
      </c>
      <c r="C40" s="10">
        <f t="shared" si="4"/>
        <v>0.68058319703375303</v>
      </c>
      <c r="D40" s="9">
        <f t="shared" si="5"/>
        <v>5921.0738141936517</v>
      </c>
    </row>
    <row r="41" spans="1:5" x14ac:dyDescent="0.25">
      <c r="A41" s="9">
        <f t="shared" si="3"/>
        <v>6</v>
      </c>
      <c r="B41" s="9">
        <v>8700</v>
      </c>
      <c r="C41" s="10">
        <f t="shared" si="4"/>
        <v>0.63016962688310452</v>
      </c>
      <c r="D41" s="9">
        <f t="shared" si="5"/>
        <v>5482.475753883009</v>
      </c>
    </row>
    <row r="42" spans="1:5" x14ac:dyDescent="0.25">
      <c r="A42" s="9">
        <f t="shared" si="3"/>
        <v>7</v>
      </c>
      <c r="B42" s="9">
        <v>8700</v>
      </c>
      <c r="C42" s="10">
        <f t="shared" si="4"/>
        <v>0.58349039526213387</v>
      </c>
      <c r="D42" s="9">
        <f t="shared" si="5"/>
        <v>5076.3664387805647</v>
      </c>
    </row>
    <row r="43" spans="1:5" x14ac:dyDescent="0.25">
      <c r="A43" s="2" t="s">
        <v>7</v>
      </c>
      <c r="B43" s="2"/>
      <c r="C43" s="2"/>
      <c r="D43" s="2">
        <f>SUM(D36:D42)</f>
        <v>45295.419515242909</v>
      </c>
    </row>
    <row r="45" spans="1:5" x14ac:dyDescent="0.25">
      <c r="A45" s="2" t="s">
        <v>4</v>
      </c>
    </row>
    <row r="46" spans="1:5" x14ac:dyDescent="0.25">
      <c r="A46" s="42" t="s">
        <v>8</v>
      </c>
      <c r="B46" s="42"/>
      <c r="C46" s="42"/>
      <c r="D46" s="42"/>
      <c r="E46" s="42"/>
    </row>
    <row r="47" spans="1:5" x14ac:dyDescent="0.25">
      <c r="A47" s="42"/>
      <c r="B47" s="42"/>
      <c r="C47" s="42"/>
      <c r="D47" s="42"/>
      <c r="E47" s="42"/>
    </row>
    <row r="48" spans="1:5" x14ac:dyDescent="0.25">
      <c r="A48" s="42"/>
      <c r="B48" s="42"/>
      <c r="C48" s="42"/>
      <c r="D48" s="42"/>
      <c r="E48" s="42"/>
    </row>
    <row r="51" spans="1:5" x14ac:dyDescent="0.25">
      <c r="A51" s="2" t="s">
        <v>9</v>
      </c>
    </row>
    <row r="52" spans="1:5" x14ac:dyDescent="0.25">
      <c r="A52" s="9" t="s">
        <v>0</v>
      </c>
      <c r="B52" s="9" t="s">
        <v>1</v>
      </c>
      <c r="C52" s="9" t="s">
        <v>2</v>
      </c>
      <c r="D52" s="9"/>
    </row>
    <row r="53" spans="1:5" x14ac:dyDescent="0.25">
      <c r="A53" s="9">
        <v>0</v>
      </c>
      <c r="B53" s="9">
        <v>8700</v>
      </c>
      <c r="C53" s="10">
        <f>(1+0.08)^-A53</f>
        <v>1</v>
      </c>
      <c r="D53" s="9">
        <f t="shared" ref="D53:D59" si="6">B53*C53</f>
        <v>8700</v>
      </c>
    </row>
    <row r="54" spans="1:5" x14ac:dyDescent="0.25">
      <c r="A54" s="9">
        <f>A53+1</f>
        <v>1</v>
      </c>
      <c r="B54" s="9">
        <v>8700</v>
      </c>
      <c r="C54" s="10">
        <f>(1+0.08)^-A54</f>
        <v>0.92592592592592582</v>
      </c>
      <c r="D54" s="9">
        <f t="shared" si="6"/>
        <v>8055.5555555555547</v>
      </c>
    </row>
    <row r="55" spans="1:5" x14ac:dyDescent="0.25">
      <c r="A55" s="9">
        <f t="shared" ref="A55:A59" si="7">A54+1</f>
        <v>2</v>
      </c>
      <c r="B55" s="9">
        <v>8700</v>
      </c>
      <c r="C55" s="10">
        <f t="shared" ref="C55:C59" si="8">(1+0.08)^-A55</f>
        <v>0.85733882030178321</v>
      </c>
      <c r="D55" s="9">
        <f t="shared" si="6"/>
        <v>7458.8477366255138</v>
      </c>
    </row>
    <row r="56" spans="1:5" x14ac:dyDescent="0.25">
      <c r="A56" s="9">
        <f t="shared" si="7"/>
        <v>3</v>
      </c>
      <c r="B56" s="9">
        <v>8700</v>
      </c>
      <c r="C56" s="10">
        <f t="shared" si="8"/>
        <v>0.79383224102016958</v>
      </c>
      <c r="D56" s="9">
        <f t="shared" si="6"/>
        <v>6906.3404968754758</v>
      </c>
    </row>
    <row r="57" spans="1:5" x14ac:dyDescent="0.25">
      <c r="A57" s="9">
        <f t="shared" si="7"/>
        <v>4</v>
      </c>
      <c r="B57" s="9">
        <v>8700</v>
      </c>
      <c r="C57" s="10">
        <f t="shared" si="8"/>
        <v>0.73502985279645328</v>
      </c>
      <c r="D57" s="9">
        <f t="shared" si="6"/>
        <v>6394.7597193291431</v>
      </c>
    </row>
    <row r="58" spans="1:5" x14ac:dyDescent="0.25">
      <c r="A58" s="9">
        <f t="shared" si="7"/>
        <v>5</v>
      </c>
      <c r="B58" s="9">
        <v>8700</v>
      </c>
      <c r="C58" s="10">
        <f t="shared" si="8"/>
        <v>0.68058319703375303</v>
      </c>
      <c r="D58" s="9">
        <f t="shared" si="6"/>
        <v>5921.0738141936517</v>
      </c>
    </row>
    <row r="59" spans="1:5" x14ac:dyDescent="0.25">
      <c r="A59" s="9">
        <f t="shared" si="7"/>
        <v>6</v>
      </c>
      <c r="B59" s="9">
        <v>8700</v>
      </c>
      <c r="C59" s="10">
        <f t="shared" si="8"/>
        <v>0.63016962688310452</v>
      </c>
      <c r="D59" s="9">
        <f t="shared" si="6"/>
        <v>5482.475753883009</v>
      </c>
    </row>
    <row r="60" spans="1:5" x14ac:dyDescent="0.25">
      <c r="A60" s="2" t="s">
        <v>7</v>
      </c>
      <c r="B60" s="2"/>
      <c r="C60" s="2"/>
      <c r="D60" s="2">
        <f>SUM(D53:D59)</f>
        <v>48919.053076462347</v>
      </c>
    </row>
    <row r="62" spans="1:5" x14ac:dyDescent="0.25">
      <c r="A62" s="2" t="s">
        <v>11</v>
      </c>
    </row>
    <row r="63" spans="1:5" x14ac:dyDescent="0.25">
      <c r="A63" s="42" t="s">
        <v>10</v>
      </c>
      <c r="B63" s="42"/>
      <c r="C63" s="42"/>
      <c r="D63" s="42"/>
      <c r="E63" s="42"/>
    </row>
    <row r="64" spans="1:5" x14ac:dyDescent="0.25">
      <c r="A64" s="42"/>
      <c r="B64" s="42"/>
      <c r="C64" s="42"/>
      <c r="D64" s="42"/>
      <c r="E64" s="42"/>
    </row>
    <row r="65" spans="1:5" x14ac:dyDescent="0.25">
      <c r="A65" s="42"/>
      <c r="B65" s="42"/>
      <c r="C65" s="42"/>
      <c r="D65" s="42"/>
      <c r="E65" s="42"/>
    </row>
    <row r="68" spans="1:5" x14ac:dyDescent="0.25">
      <c r="A68" s="4" t="s">
        <v>12</v>
      </c>
      <c r="B68" s="4" t="s">
        <v>16</v>
      </c>
      <c r="C68" s="4">
        <f>D43</f>
        <v>45295.419515242909</v>
      </c>
    </row>
    <row r="69" spans="1:5" x14ac:dyDescent="0.25">
      <c r="A69" s="4" t="s">
        <v>13</v>
      </c>
      <c r="B69" s="4" t="s">
        <v>17</v>
      </c>
      <c r="C69" s="4" t="s">
        <v>19</v>
      </c>
    </row>
    <row r="70" spans="1:5" x14ac:dyDescent="0.25">
      <c r="A70" s="4" t="s">
        <v>14</v>
      </c>
      <c r="B70" s="4" t="s">
        <v>16</v>
      </c>
      <c r="C70" s="4">
        <f>D60</f>
        <v>48919.053076462347</v>
      </c>
    </row>
    <row r="71" spans="1:5" x14ac:dyDescent="0.25">
      <c r="A71" s="4" t="s">
        <v>15</v>
      </c>
      <c r="B71" s="4" t="s">
        <v>18</v>
      </c>
      <c r="C71" s="4" t="s">
        <v>20</v>
      </c>
    </row>
  </sheetData>
  <mergeCells count="2">
    <mergeCell ref="A46:E48"/>
    <mergeCell ref="A63:E6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6:F121"/>
  <sheetViews>
    <sheetView topLeftCell="A67" workbookViewId="0">
      <selection activeCell="F121" sqref="F121"/>
    </sheetView>
  </sheetViews>
  <sheetFormatPr defaultRowHeight="15" x14ac:dyDescent="0.25"/>
  <cols>
    <col min="2" max="2" width="43.7109375" bestFit="1" customWidth="1"/>
    <col min="3" max="3" width="15.42578125" customWidth="1"/>
    <col min="6" max="6" width="13.28515625" customWidth="1"/>
  </cols>
  <sheetData>
    <row r="16" spans="1:1" x14ac:dyDescent="0.25">
      <c r="A16" s="2" t="s">
        <v>5</v>
      </c>
    </row>
    <row r="17" spans="1:6" ht="26.25" customHeight="1" x14ac:dyDescent="0.25">
      <c r="A17" s="9" t="s">
        <v>0</v>
      </c>
      <c r="B17" s="11" t="s">
        <v>21</v>
      </c>
      <c r="C17" s="11" t="s">
        <v>22</v>
      </c>
      <c r="D17" s="9" t="s">
        <v>23</v>
      </c>
      <c r="E17" s="9" t="s">
        <v>2</v>
      </c>
      <c r="F17" s="11" t="s">
        <v>24</v>
      </c>
    </row>
    <row r="18" spans="1:6" x14ac:dyDescent="0.25">
      <c r="A18" s="9">
        <v>0</v>
      </c>
      <c r="B18" s="9"/>
      <c r="C18" s="9">
        <v>33000</v>
      </c>
      <c r="D18" s="9">
        <f>B18-C18</f>
        <v>-33000</v>
      </c>
      <c r="E18" s="10">
        <f>1.1^-A18</f>
        <v>1</v>
      </c>
      <c r="F18" s="9">
        <f>D18*E18</f>
        <v>-33000</v>
      </c>
    </row>
    <row r="19" spans="1:6" x14ac:dyDescent="0.25">
      <c r="A19" s="9">
        <f>A18+1</f>
        <v>1</v>
      </c>
      <c r="B19" s="9">
        <f>2.5*3000</f>
        <v>7500</v>
      </c>
      <c r="C19" s="9">
        <v>1000</v>
      </c>
      <c r="D19" s="9">
        <f t="shared" ref="D19:D38" si="0">B19-C19</f>
        <v>6500</v>
      </c>
      <c r="E19" s="10">
        <f t="shared" ref="E19:E38" si="1">1.1^-A19</f>
        <v>0.90909090909090906</v>
      </c>
      <c r="F19" s="9">
        <f t="shared" ref="F19:F38" si="2">D19*E19</f>
        <v>5909.090909090909</v>
      </c>
    </row>
    <row r="20" spans="1:6" x14ac:dyDescent="0.25">
      <c r="A20" s="9">
        <f t="shared" ref="A20:A38" si="3">A19+1</f>
        <v>2</v>
      </c>
      <c r="B20" s="9">
        <f>3*3000</f>
        <v>9000</v>
      </c>
      <c r="C20" s="9">
        <v>1000</v>
      </c>
      <c r="D20" s="9">
        <f t="shared" si="0"/>
        <v>8000</v>
      </c>
      <c r="E20" s="10">
        <f>1.1^-A20</f>
        <v>0.82644628099173545</v>
      </c>
      <c r="F20" s="9">
        <f t="shared" si="2"/>
        <v>6611.5702479338834</v>
      </c>
    </row>
    <row r="21" spans="1:6" x14ac:dyDescent="0.25">
      <c r="A21" s="9">
        <f t="shared" si="3"/>
        <v>3</v>
      </c>
      <c r="B21" s="9">
        <f>3.5*3000</f>
        <v>10500</v>
      </c>
      <c r="C21" s="9">
        <v>1000</v>
      </c>
      <c r="D21" s="9">
        <f t="shared" si="0"/>
        <v>9500</v>
      </c>
      <c r="E21" s="10">
        <f>1.1^-A21</f>
        <v>0.75131480090157754</v>
      </c>
      <c r="F21" s="9">
        <f t="shared" si="2"/>
        <v>7137.4906085649864</v>
      </c>
    </row>
    <row r="22" spans="1:6" x14ac:dyDescent="0.25">
      <c r="A22" s="9">
        <f t="shared" si="3"/>
        <v>4</v>
      </c>
      <c r="B22" s="9">
        <f t="shared" ref="B22:B38" si="4">3.5*3000</f>
        <v>10500</v>
      </c>
      <c r="C22" s="9">
        <v>1000</v>
      </c>
      <c r="D22" s="9">
        <f t="shared" si="0"/>
        <v>9500</v>
      </c>
      <c r="E22" s="10">
        <f t="shared" si="1"/>
        <v>0.68301345536507052</v>
      </c>
      <c r="F22" s="9">
        <f t="shared" si="2"/>
        <v>6488.6278259681703</v>
      </c>
    </row>
    <row r="23" spans="1:6" x14ac:dyDescent="0.25">
      <c r="A23" s="9">
        <f t="shared" si="3"/>
        <v>5</v>
      </c>
      <c r="B23" s="9">
        <f t="shared" si="4"/>
        <v>10500</v>
      </c>
      <c r="C23" s="9">
        <v>1000</v>
      </c>
      <c r="D23" s="9">
        <f t="shared" si="0"/>
        <v>9500</v>
      </c>
      <c r="E23" s="10">
        <f t="shared" si="1"/>
        <v>0.62092132305915493</v>
      </c>
      <c r="F23" s="9">
        <f t="shared" si="2"/>
        <v>5898.7525690619714</v>
      </c>
    </row>
    <row r="24" spans="1:6" x14ac:dyDescent="0.25">
      <c r="A24" s="9">
        <f t="shared" si="3"/>
        <v>6</v>
      </c>
      <c r="B24" s="9">
        <f t="shared" si="4"/>
        <v>10500</v>
      </c>
      <c r="C24" s="9">
        <v>1000</v>
      </c>
      <c r="D24" s="9">
        <f t="shared" si="0"/>
        <v>9500</v>
      </c>
      <c r="E24" s="10">
        <f t="shared" si="1"/>
        <v>0.56447393005377722</v>
      </c>
      <c r="F24" s="9">
        <f t="shared" si="2"/>
        <v>5362.5023355108833</v>
      </c>
    </row>
    <row r="25" spans="1:6" x14ac:dyDescent="0.25">
      <c r="A25" s="9">
        <f t="shared" si="3"/>
        <v>7</v>
      </c>
      <c r="B25" s="9">
        <f t="shared" si="4"/>
        <v>10500</v>
      </c>
      <c r="C25" s="9">
        <v>1000</v>
      </c>
      <c r="D25" s="9">
        <f t="shared" si="0"/>
        <v>9500</v>
      </c>
      <c r="E25" s="10">
        <f t="shared" si="1"/>
        <v>0.51315811823070645</v>
      </c>
      <c r="F25" s="9">
        <f t="shared" si="2"/>
        <v>4875.0021231917117</v>
      </c>
    </row>
    <row r="26" spans="1:6" x14ac:dyDescent="0.25">
      <c r="A26" s="9">
        <f t="shared" si="3"/>
        <v>8</v>
      </c>
      <c r="B26" s="9">
        <f t="shared" si="4"/>
        <v>10500</v>
      </c>
      <c r="C26" s="9">
        <v>1000</v>
      </c>
      <c r="D26" s="9">
        <f t="shared" si="0"/>
        <v>9500</v>
      </c>
      <c r="E26" s="10">
        <f t="shared" si="1"/>
        <v>0.46650738020973315</v>
      </c>
      <c r="F26" s="9">
        <f t="shared" si="2"/>
        <v>4431.8201119924652</v>
      </c>
    </row>
    <row r="27" spans="1:6" x14ac:dyDescent="0.25">
      <c r="A27" s="9">
        <f t="shared" si="3"/>
        <v>9</v>
      </c>
      <c r="B27" s="9">
        <f t="shared" si="4"/>
        <v>10500</v>
      </c>
      <c r="C27" s="9">
        <v>1000</v>
      </c>
      <c r="D27" s="9">
        <f t="shared" si="0"/>
        <v>9500</v>
      </c>
      <c r="E27" s="10">
        <f t="shared" si="1"/>
        <v>0.42409761837248466</v>
      </c>
      <c r="F27" s="9">
        <f t="shared" si="2"/>
        <v>4028.9273745386045</v>
      </c>
    </row>
    <row r="28" spans="1:6" x14ac:dyDescent="0.25">
      <c r="A28" s="9">
        <f t="shared" si="3"/>
        <v>10</v>
      </c>
      <c r="B28" s="9">
        <f t="shared" si="4"/>
        <v>10500</v>
      </c>
      <c r="C28" s="9">
        <v>1000</v>
      </c>
      <c r="D28" s="9">
        <f t="shared" si="0"/>
        <v>9500</v>
      </c>
      <c r="E28" s="10">
        <f t="shared" si="1"/>
        <v>0.38554328942953148</v>
      </c>
      <c r="F28" s="9">
        <f t="shared" si="2"/>
        <v>3662.6612495805489</v>
      </c>
    </row>
    <row r="29" spans="1:6" x14ac:dyDescent="0.25">
      <c r="A29" s="9">
        <f t="shared" si="3"/>
        <v>11</v>
      </c>
      <c r="B29" s="9">
        <f t="shared" si="4"/>
        <v>10500</v>
      </c>
      <c r="C29" s="9">
        <v>1000</v>
      </c>
      <c r="D29" s="9">
        <f t="shared" si="0"/>
        <v>9500</v>
      </c>
      <c r="E29" s="10">
        <f t="shared" si="1"/>
        <v>0.3504938994813922</v>
      </c>
      <c r="F29" s="9">
        <f t="shared" si="2"/>
        <v>3329.6920450732259</v>
      </c>
    </row>
    <row r="30" spans="1:6" x14ac:dyDescent="0.25">
      <c r="A30" s="9">
        <f t="shared" si="3"/>
        <v>12</v>
      </c>
      <c r="B30" s="9">
        <f t="shared" si="4"/>
        <v>10500</v>
      </c>
      <c r="C30" s="9">
        <v>1000</v>
      </c>
      <c r="D30" s="9">
        <f t="shared" si="0"/>
        <v>9500</v>
      </c>
      <c r="E30" s="10">
        <f t="shared" si="1"/>
        <v>0.31863081771035656</v>
      </c>
      <c r="F30" s="9">
        <f t="shared" si="2"/>
        <v>3026.9927682483872</v>
      </c>
    </row>
    <row r="31" spans="1:6" x14ac:dyDescent="0.25">
      <c r="A31" s="9">
        <f t="shared" si="3"/>
        <v>13</v>
      </c>
      <c r="B31" s="9">
        <f t="shared" si="4"/>
        <v>10500</v>
      </c>
      <c r="C31" s="9">
        <v>1000</v>
      </c>
      <c r="D31" s="9">
        <f t="shared" si="0"/>
        <v>9500</v>
      </c>
      <c r="E31" s="10">
        <f t="shared" si="1"/>
        <v>0.28966437973668779</v>
      </c>
      <c r="F31" s="9">
        <f t="shared" si="2"/>
        <v>2751.8116074985342</v>
      </c>
    </row>
    <row r="32" spans="1:6" x14ac:dyDescent="0.25">
      <c r="A32" s="9">
        <f t="shared" si="3"/>
        <v>14</v>
      </c>
      <c r="B32" s="9">
        <f t="shared" si="4"/>
        <v>10500</v>
      </c>
      <c r="C32" s="9">
        <v>1000</v>
      </c>
      <c r="D32" s="9">
        <f t="shared" si="0"/>
        <v>9500</v>
      </c>
      <c r="E32" s="10">
        <f t="shared" si="1"/>
        <v>0.26333125430607973</v>
      </c>
      <c r="F32" s="9">
        <f t="shared" si="2"/>
        <v>2501.6469159077574</v>
      </c>
    </row>
    <row r="33" spans="1:6" x14ac:dyDescent="0.25">
      <c r="A33" s="9">
        <f t="shared" si="3"/>
        <v>15</v>
      </c>
      <c r="B33" s="9">
        <f t="shared" si="4"/>
        <v>10500</v>
      </c>
      <c r="C33" s="9">
        <v>1000</v>
      </c>
      <c r="D33" s="9">
        <f t="shared" si="0"/>
        <v>9500</v>
      </c>
      <c r="E33" s="10">
        <f t="shared" si="1"/>
        <v>0.23939204936916339</v>
      </c>
      <c r="F33" s="9">
        <f t="shared" si="2"/>
        <v>2274.224469007052</v>
      </c>
    </row>
    <row r="34" spans="1:6" x14ac:dyDescent="0.25">
      <c r="A34" s="9">
        <f t="shared" si="3"/>
        <v>16</v>
      </c>
      <c r="B34" s="9">
        <f t="shared" si="4"/>
        <v>10500</v>
      </c>
      <c r="C34" s="9">
        <v>1000</v>
      </c>
      <c r="D34" s="9">
        <f t="shared" si="0"/>
        <v>9500</v>
      </c>
      <c r="E34" s="10">
        <f t="shared" si="1"/>
        <v>0.21762913579014853</v>
      </c>
      <c r="F34" s="9">
        <f t="shared" si="2"/>
        <v>2067.4767900064112</v>
      </c>
    </row>
    <row r="35" spans="1:6" x14ac:dyDescent="0.25">
      <c r="A35" s="9">
        <f t="shared" si="3"/>
        <v>17</v>
      </c>
      <c r="B35" s="9">
        <f t="shared" si="4"/>
        <v>10500</v>
      </c>
      <c r="C35" s="9">
        <v>1000</v>
      </c>
      <c r="D35" s="9">
        <f t="shared" si="0"/>
        <v>9500</v>
      </c>
      <c r="E35" s="10">
        <f t="shared" si="1"/>
        <v>0.19784466890013502</v>
      </c>
      <c r="F35" s="9">
        <f t="shared" si="2"/>
        <v>1879.5243545512826</v>
      </c>
    </row>
    <row r="36" spans="1:6" x14ac:dyDescent="0.25">
      <c r="A36" s="9">
        <f t="shared" si="3"/>
        <v>18</v>
      </c>
      <c r="B36" s="9">
        <f t="shared" si="4"/>
        <v>10500</v>
      </c>
      <c r="C36" s="9">
        <v>1000</v>
      </c>
      <c r="D36" s="9">
        <f t="shared" si="0"/>
        <v>9500</v>
      </c>
      <c r="E36" s="10">
        <f t="shared" si="1"/>
        <v>0.17985878990921364</v>
      </c>
      <c r="F36" s="9">
        <f t="shared" si="2"/>
        <v>1708.6585041375297</v>
      </c>
    </row>
    <row r="37" spans="1:6" x14ac:dyDescent="0.25">
      <c r="A37" s="9">
        <f t="shared" si="3"/>
        <v>19</v>
      </c>
      <c r="B37" s="9">
        <f t="shared" si="4"/>
        <v>10500</v>
      </c>
      <c r="C37" s="9">
        <v>1000</v>
      </c>
      <c r="D37" s="9">
        <f t="shared" si="0"/>
        <v>9500</v>
      </c>
      <c r="E37" s="10">
        <f t="shared" si="1"/>
        <v>0.16350799082655781</v>
      </c>
      <c r="F37" s="9">
        <f t="shared" si="2"/>
        <v>1553.3259128522993</v>
      </c>
    </row>
    <row r="38" spans="1:6" x14ac:dyDescent="0.25">
      <c r="A38" s="9">
        <f t="shared" si="3"/>
        <v>20</v>
      </c>
      <c r="B38" s="9">
        <f t="shared" si="4"/>
        <v>10500</v>
      </c>
      <c r="C38" s="9">
        <v>1000</v>
      </c>
      <c r="D38" s="9">
        <f t="shared" si="0"/>
        <v>9500</v>
      </c>
      <c r="E38" s="10">
        <f t="shared" si="1"/>
        <v>0.14864362802414349</v>
      </c>
      <c r="F38" s="9">
        <f t="shared" si="2"/>
        <v>1412.1144662293632</v>
      </c>
    </row>
    <row r="39" spans="1:6" x14ac:dyDescent="0.25">
      <c r="A39" s="2" t="s">
        <v>25</v>
      </c>
      <c r="E39" s="2"/>
      <c r="F39" s="2">
        <f>SUM(F18:F38)</f>
        <v>43911.913188945975</v>
      </c>
    </row>
    <row r="41" spans="1:6" x14ac:dyDescent="0.25">
      <c r="A41" s="2" t="s">
        <v>4</v>
      </c>
    </row>
    <row r="42" spans="1:6" x14ac:dyDescent="0.25">
      <c r="A42" t="s">
        <v>26</v>
      </c>
      <c r="D42" s="5">
        <f>IRR(D18:D38)</f>
        <v>0.25887796906310601</v>
      </c>
    </row>
    <row r="44" spans="1:6" x14ac:dyDescent="0.25">
      <c r="A44" s="2" t="s">
        <v>9</v>
      </c>
    </row>
    <row r="45" spans="1:6" x14ac:dyDescent="0.25">
      <c r="A45" s="43" t="s">
        <v>27</v>
      </c>
      <c r="B45" s="43"/>
      <c r="C45" s="43"/>
      <c r="D45" s="43"/>
      <c r="E45" s="43"/>
    </row>
    <row r="46" spans="1:6" ht="30" x14ac:dyDescent="0.25">
      <c r="A46" s="9" t="s">
        <v>0</v>
      </c>
      <c r="B46" s="11" t="s">
        <v>21</v>
      </c>
      <c r="C46" s="11" t="s">
        <v>22</v>
      </c>
      <c r="D46" s="9" t="s">
        <v>23</v>
      </c>
      <c r="E46" s="9"/>
    </row>
    <row r="47" spans="1:6" x14ac:dyDescent="0.25">
      <c r="A47" s="9">
        <v>0</v>
      </c>
      <c r="B47" s="9"/>
      <c r="C47" s="9">
        <v>33000</v>
      </c>
      <c r="D47" s="9">
        <f>B47-C47</f>
        <v>-33000</v>
      </c>
      <c r="E47" s="9">
        <f>D47</f>
        <v>-33000</v>
      </c>
    </row>
    <row r="48" spans="1:6" x14ac:dyDescent="0.25">
      <c r="A48" s="9">
        <f>A47+1</f>
        <v>1</v>
      </c>
      <c r="B48" s="9">
        <f>2.5*3000</f>
        <v>7500</v>
      </c>
      <c r="C48" s="9">
        <v>1000</v>
      </c>
      <c r="D48" s="9">
        <f t="shared" ref="D48:D52" si="5">B48-C48</f>
        <v>6500</v>
      </c>
      <c r="E48" s="9">
        <f>D48+E47</f>
        <v>-26500</v>
      </c>
    </row>
    <row r="49" spans="1:5" x14ac:dyDescent="0.25">
      <c r="A49" s="9">
        <f t="shared" ref="A49:A52" si="6">A48+1</f>
        <v>2</v>
      </c>
      <c r="B49" s="9">
        <f>3*3000</f>
        <v>9000</v>
      </c>
      <c r="C49" s="9">
        <v>1000</v>
      </c>
      <c r="D49" s="9">
        <f t="shared" si="5"/>
        <v>8000</v>
      </c>
      <c r="E49" s="9">
        <f t="shared" ref="E49:E52" si="7">D49+E48</f>
        <v>-18500</v>
      </c>
    </row>
    <row r="50" spans="1:5" x14ac:dyDescent="0.25">
      <c r="A50" s="9">
        <f t="shared" si="6"/>
        <v>3</v>
      </c>
      <c r="B50" s="9">
        <f>3.5*3000</f>
        <v>10500</v>
      </c>
      <c r="C50" s="9">
        <v>1000</v>
      </c>
      <c r="D50" s="9">
        <f t="shared" si="5"/>
        <v>9500</v>
      </c>
      <c r="E50" s="9">
        <f t="shared" si="7"/>
        <v>-9000</v>
      </c>
    </row>
    <row r="51" spans="1:5" x14ac:dyDescent="0.25">
      <c r="A51" s="9">
        <f t="shared" si="6"/>
        <v>4</v>
      </c>
      <c r="B51" s="9">
        <f t="shared" ref="B51:B52" si="8">3.5*3000</f>
        <v>10500</v>
      </c>
      <c r="C51" s="9">
        <v>1000</v>
      </c>
      <c r="D51" s="9">
        <f t="shared" si="5"/>
        <v>9500</v>
      </c>
      <c r="E51" s="9">
        <f t="shared" si="7"/>
        <v>500</v>
      </c>
    </row>
    <row r="52" spans="1:5" x14ac:dyDescent="0.25">
      <c r="A52" s="9">
        <f t="shared" si="6"/>
        <v>5</v>
      </c>
      <c r="B52" s="9">
        <f t="shared" si="8"/>
        <v>10500</v>
      </c>
      <c r="C52" s="9">
        <v>1000</v>
      </c>
      <c r="D52" s="9">
        <f t="shared" si="5"/>
        <v>9500</v>
      </c>
      <c r="E52" s="9">
        <f t="shared" si="7"/>
        <v>10000</v>
      </c>
    </row>
    <row r="55" spans="1:5" x14ac:dyDescent="0.25">
      <c r="A55" s="2" t="s">
        <v>11</v>
      </c>
    </row>
    <row r="56" spans="1:5" x14ac:dyDescent="0.25">
      <c r="A56" t="s">
        <v>28</v>
      </c>
    </row>
    <row r="61" spans="1:5" ht="30" x14ac:dyDescent="0.25">
      <c r="A61" s="9" t="s">
        <v>0</v>
      </c>
      <c r="B61" s="11" t="s">
        <v>22</v>
      </c>
      <c r="C61" s="9" t="s">
        <v>2</v>
      </c>
      <c r="D61" s="9"/>
    </row>
    <row r="62" spans="1:5" x14ac:dyDescent="0.25">
      <c r="A62" s="9">
        <v>0</v>
      </c>
      <c r="B62" s="9">
        <v>33000</v>
      </c>
      <c r="C62" s="10">
        <f>E18</f>
        <v>1</v>
      </c>
      <c r="D62" s="9">
        <f>B62*C62</f>
        <v>33000</v>
      </c>
    </row>
    <row r="63" spans="1:5" x14ac:dyDescent="0.25">
      <c r="A63" s="9">
        <f>A62+1</f>
        <v>1</v>
      </c>
      <c r="B63" s="9">
        <v>1000</v>
      </c>
      <c r="C63" s="10">
        <f>E19</f>
        <v>0.90909090909090906</v>
      </c>
      <c r="D63" s="9">
        <f t="shared" ref="D63:D82" si="9">B63*C63</f>
        <v>909.09090909090901</v>
      </c>
    </row>
    <row r="64" spans="1:5" x14ac:dyDescent="0.25">
      <c r="A64" s="9">
        <f t="shared" ref="A64:A82" si="10">A63+1</f>
        <v>2</v>
      </c>
      <c r="B64" s="9">
        <v>1000</v>
      </c>
      <c r="C64" s="10">
        <f t="shared" ref="C64:C82" si="11">E20</f>
        <v>0.82644628099173545</v>
      </c>
      <c r="D64" s="9">
        <f t="shared" si="9"/>
        <v>826.44628099173542</v>
      </c>
    </row>
    <row r="65" spans="1:4" x14ac:dyDescent="0.25">
      <c r="A65" s="9">
        <f t="shared" si="10"/>
        <v>3</v>
      </c>
      <c r="B65" s="9">
        <v>1000</v>
      </c>
      <c r="C65" s="10">
        <f t="shared" si="11"/>
        <v>0.75131480090157754</v>
      </c>
      <c r="D65" s="9">
        <f t="shared" si="9"/>
        <v>751.31480090157754</v>
      </c>
    </row>
    <row r="66" spans="1:4" x14ac:dyDescent="0.25">
      <c r="A66" s="9">
        <f t="shared" si="10"/>
        <v>4</v>
      </c>
      <c r="B66" s="9">
        <v>1000</v>
      </c>
      <c r="C66" s="10">
        <f t="shared" si="11"/>
        <v>0.68301345536507052</v>
      </c>
      <c r="D66" s="9">
        <f t="shared" si="9"/>
        <v>683.01345536507051</v>
      </c>
    </row>
    <row r="67" spans="1:4" x14ac:dyDescent="0.25">
      <c r="A67" s="9">
        <f t="shared" si="10"/>
        <v>5</v>
      </c>
      <c r="B67" s="9">
        <v>1000</v>
      </c>
      <c r="C67" s="10">
        <f t="shared" si="11"/>
        <v>0.62092132305915493</v>
      </c>
      <c r="D67" s="9">
        <f t="shared" si="9"/>
        <v>620.92132305915493</v>
      </c>
    </row>
    <row r="68" spans="1:4" x14ac:dyDescent="0.25">
      <c r="A68" s="9">
        <f t="shared" si="10"/>
        <v>6</v>
      </c>
      <c r="B68" s="9">
        <v>1000</v>
      </c>
      <c r="C68" s="10">
        <f t="shared" si="11"/>
        <v>0.56447393005377722</v>
      </c>
      <c r="D68" s="9">
        <f t="shared" si="9"/>
        <v>564.47393005377717</v>
      </c>
    </row>
    <row r="69" spans="1:4" x14ac:dyDescent="0.25">
      <c r="A69" s="9">
        <f t="shared" si="10"/>
        <v>7</v>
      </c>
      <c r="B69" s="9">
        <v>1000</v>
      </c>
      <c r="C69" s="10">
        <f t="shared" si="11"/>
        <v>0.51315811823070645</v>
      </c>
      <c r="D69" s="9">
        <f t="shared" si="9"/>
        <v>513.15811823070646</v>
      </c>
    </row>
    <row r="70" spans="1:4" x14ac:dyDescent="0.25">
      <c r="A70" s="9">
        <f t="shared" si="10"/>
        <v>8</v>
      </c>
      <c r="B70" s="9">
        <v>1000</v>
      </c>
      <c r="C70" s="10">
        <f t="shared" si="11"/>
        <v>0.46650738020973315</v>
      </c>
      <c r="D70" s="9">
        <f t="shared" si="9"/>
        <v>466.50738020973313</v>
      </c>
    </row>
    <row r="71" spans="1:4" x14ac:dyDescent="0.25">
      <c r="A71" s="9">
        <f t="shared" si="10"/>
        <v>9</v>
      </c>
      <c r="B71" s="9">
        <v>1000</v>
      </c>
      <c r="C71" s="10">
        <f t="shared" si="11"/>
        <v>0.42409761837248466</v>
      </c>
      <c r="D71" s="9">
        <f t="shared" si="9"/>
        <v>424.09761837248465</v>
      </c>
    </row>
    <row r="72" spans="1:4" x14ac:dyDescent="0.25">
      <c r="A72" s="9">
        <f t="shared" si="10"/>
        <v>10</v>
      </c>
      <c r="B72" s="9">
        <v>1000</v>
      </c>
      <c r="C72" s="10">
        <f t="shared" si="11"/>
        <v>0.38554328942953148</v>
      </c>
      <c r="D72" s="9">
        <f t="shared" si="9"/>
        <v>385.54328942953146</v>
      </c>
    </row>
    <row r="73" spans="1:4" x14ac:dyDescent="0.25">
      <c r="A73" s="9">
        <f t="shared" si="10"/>
        <v>11</v>
      </c>
      <c r="B73" s="9">
        <v>1000</v>
      </c>
      <c r="C73" s="10">
        <f t="shared" si="11"/>
        <v>0.3504938994813922</v>
      </c>
      <c r="D73" s="9">
        <f t="shared" si="9"/>
        <v>350.49389948139219</v>
      </c>
    </row>
    <row r="74" spans="1:4" x14ac:dyDescent="0.25">
      <c r="A74" s="9">
        <f t="shared" si="10"/>
        <v>12</v>
      </c>
      <c r="B74" s="9">
        <v>1000</v>
      </c>
      <c r="C74" s="10">
        <f t="shared" si="11"/>
        <v>0.31863081771035656</v>
      </c>
      <c r="D74" s="9">
        <f t="shared" si="9"/>
        <v>318.63081771035655</v>
      </c>
    </row>
    <row r="75" spans="1:4" x14ac:dyDescent="0.25">
      <c r="A75" s="9">
        <f t="shared" si="10"/>
        <v>13</v>
      </c>
      <c r="B75" s="9">
        <v>1000</v>
      </c>
      <c r="C75" s="10">
        <f t="shared" si="11"/>
        <v>0.28966437973668779</v>
      </c>
      <c r="D75" s="9">
        <f t="shared" si="9"/>
        <v>289.66437973668781</v>
      </c>
    </row>
    <row r="76" spans="1:4" x14ac:dyDescent="0.25">
      <c r="A76" s="9">
        <f t="shared" si="10"/>
        <v>14</v>
      </c>
      <c r="B76" s="9">
        <v>1000</v>
      </c>
      <c r="C76" s="10">
        <f t="shared" si="11"/>
        <v>0.26333125430607973</v>
      </c>
      <c r="D76" s="9">
        <f t="shared" si="9"/>
        <v>263.33125430607976</v>
      </c>
    </row>
    <row r="77" spans="1:4" x14ac:dyDescent="0.25">
      <c r="A77" s="9">
        <f t="shared" si="10"/>
        <v>15</v>
      </c>
      <c r="B77" s="9">
        <v>1000</v>
      </c>
      <c r="C77" s="10">
        <f t="shared" si="11"/>
        <v>0.23939204936916339</v>
      </c>
      <c r="D77" s="9">
        <f t="shared" si="9"/>
        <v>239.3920493691634</v>
      </c>
    </row>
    <row r="78" spans="1:4" x14ac:dyDescent="0.25">
      <c r="A78" s="9">
        <f t="shared" si="10"/>
        <v>16</v>
      </c>
      <c r="B78" s="9">
        <v>1000</v>
      </c>
      <c r="C78" s="10">
        <f t="shared" si="11"/>
        <v>0.21762913579014853</v>
      </c>
      <c r="D78" s="9">
        <f t="shared" si="9"/>
        <v>217.62913579014852</v>
      </c>
    </row>
    <row r="79" spans="1:4" x14ac:dyDescent="0.25">
      <c r="A79" s="9">
        <f t="shared" si="10"/>
        <v>17</v>
      </c>
      <c r="B79" s="9">
        <v>1000</v>
      </c>
      <c r="C79" s="10">
        <f t="shared" si="11"/>
        <v>0.19784466890013502</v>
      </c>
      <c r="D79" s="9">
        <f t="shared" si="9"/>
        <v>197.84466890013502</v>
      </c>
    </row>
    <row r="80" spans="1:4" x14ac:dyDescent="0.25">
      <c r="A80" s="9">
        <f t="shared" si="10"/>
        <v>18</v>
      </c>
      <c r="B80" s="9">
        <v>1000</v>
      </c>
      <c r="C80" s="10">
        <f t="shared" si="11"/>
        <v>0.17985878990921364</v>
      </c>
      <c r="D80" s="9">
        <f t="shared" si="9"/>
        <v>179.85878990921364</v>
      </c>
    </row>
    <row r="81" spans="1:4" x14ac:dyDescent="0.25">
      <c r="A81" s="9">
        <f t="shared" si="10"/>
        <v>19</v>
      </c>
      <c r="B81" s="9">
        <v>1000</v>
      </c>
      <c r="C81" s="10">
        <f t="shared" si="11"/>
        <v>0.16350799082655781</v>
      </c>
      <c r="D81" s="9">
        <f t="shared" si="9"/>
        <v>163.5079908265578</v>
      </c>
    </row>
    <row r="82" spans="1:4" x14ac:dyDescent="0.25">
      <c r="A82" s="9">
        <f t="shared" si="10"/>
        <v>20</v>
      </c>
      <c r="B82" s="9">
        <v>1000</v>
      </c>
      <c r="C82" s="10">
        <f t="shared" si="11"/>
        <v>0.14864362802414349</v>
      </c>
      <c r="D82" s="9">
        <f t="shared" si="9"/>
        <v>148.64362802414348</v>
      </c>
    </row>
    <row r="83" spans="1:4" x14ac:dyDescent="0.25">
      <c r="A83" t="s">
        <v>29</v>
      </c>
      <c r="D83">
        <f>SUM(D62:D82)</f>
        <v>41513.563719758567</v>
      </c>
    </row>
    <row r="84" spans="1:4" x14ac:dyDescent="0.25">
      <c r="A84" t="s">
        <v>30</v>
      </c>
      <c r="D84">
        <f>((1+(1+0.1)^-20))/0.1</f>
        <v>11.486436280241433</v>
      </c>
    </row>
    <row r="85" spans="1:4" x14ac:dyDescent="0.25">
      <c r="A85" s="2" t="s">
        <v>31</v>
      </c>
      <c r="B85" s="2"/>
      <c r="C85" s="2"/>
      <c r="D85" s="2">
        <f>D83/D84</f>
        <v>3614.1378149782408</v>
      </c>
    </row>
    <row r="88" spans="1:4" ht="30" x14ac:dyDescent="0.25">
      <c r="A88" s="9" t="s">
        <v>0</v>
      </c>
      <c r="B88" s="11" t="s">
        <v>21</v>
      </c>
      <c r="C88" s="9"/>
      <c r="D88" s="9"/>
    </row>
    <row r="89" spans="1:4" x14ac:dyDescent="0.25">
      <c r="A89" s="9">
        <v>0</v>
      </c>
      <c r="B89" s="9"/>
      <c r="C89" s="10">
        <f>C62</f>
        <v>1</v>
      </c>
      <c r="D89" s="9">
        <f>B89*C89</f>
        <v>0</v>
      </c>
    </row>
    <row r="90" spans="1:4" x14ac:dyDescent="0.25">
      <c r="A90" s="9">
        <f>A89+1</f>
        <v>1</v>
      </c>
      <c r="B90" s="9">
        <f>2.5*3000</f>
        <v>7500</v>
      </c>
      <c r="C90" s="10">
        <f t="shared" ref="C90:C109" si="12">C63</f>
        <v>0.90909090909090906</v>
      </c>
      <c r="D90" s="9">
        <f t="shared" ref="D90:D109" si="13">B90*C90</f>
        <v>6818.181818181818</v>
      </c>
    </row>
    <row r="91" spans="1:4" x14ac:dyDescent="0.25">
      <c r="A91" s="9">
        <f t="shared" ref="A91:A109" si="14">A90+1</f>
        <v>2</v>
      </c>
      <c r="B91" s="9">
        <f>3*3000</f>
        <v>9000</v>
      </c>
      <c r="C91" s="10">
        <f t="shared" si="12"/>
        <v>0.82644628099173545</v>
      </c>
      <c r="D91" s="9">
        <f t="shared" si="13"/>
        <v>7438.0165289256192</v>
      </c>
    </row>
    <row r="92" spans="1:4" x14ac:dyDescent="0.25">
      <c r="A92" s="9">
        <f t="shared" si="14"/>
        <v>3</v>
      </c>
      <c r="B92" s="9">
        <f>3.5*3000</f>
        <v>10500</v>
      </c>
      <c r="C92" s="10">
        <f t="shared" si="12"/>
        <v>0.75131480090157754</v>
      </c>
      <c r="D92" s="9">
        <f t="shared" si="13"/>
        <v>7888.805409466564</v>
      </c>
    </row>
    <row r="93" spans="1:4" x14ac:dyDescent="0.25">
      <c r="A93" s="9">
        <f t="shared" si="14"/>
        <v>4</v>
      </c>
      <c r="B93" s="9">
        <f t="shared" ref="B93:B109" si="15">3.5*3000</f>
        <v>10500</v>
      </c>
      <c r="C93" s="10">
        <f t="shared" si="12"/>
        <v>0.68301345536507052</v>
      </c>
      <c r="D93" s="9">
        <f t="shared" si="13"/>
        <v>7171.6412813332408</v>
      </c>
    </row>
    <row r="94" spans="1:4" x14ac:dyDescent="0.25">
      <c r="A94" s="9">
        <f t="shared" si="14"/>
        <v>5</v>
      </c>
      <c r="B94" s="9">
        <f t="shared" si="15"/>
        <v>10500</v>
      </c>
      <c r="C94" s="10">
        <f t="shared" si="12"/>
        <v>0.62092132305915493</v>
      </c>
      <c r="D94" s="9">
        <f t="shared" si="13"/>
        <v>6519.6738921211263</v>
      </c>
    </row>
    <row r="95" spans="1:4" x14ac:dyDescent="0.25">
      <c r="A95" s="9">
        <f t="shared" si="14"/>
        <v>6</v>
      </c>
      <c r="B95" s="9">
        <f t="shared" si="15"/>
        <v>10500</v>
      </c>
      <c r="C95" s="10">
        <f t="shared" si="12"/>
        <v>0.56447393005377722</v>
      </c>
      <c r="D95" s="9">
        <f t="shared" si="13"/>
        <v>5926.9762655646609</v>
      </c>
    </row>
    <row r="96" spans="1:4" x14ac:dyDescent="0.25">
      <c r="A96" s="9">
        <f t="shared" si="14"/>
        <v>7</v>
      </c>
      <c r="B96" s="9">
        <f t="shared" si="15"/>
        <v>10500</v>
      </c>
      <c r="C96" s="10">
        <f t="shared" si="12"/>
        <v>0.51315811823070645</v>
      </c>
      <c r="D96" s="9">
        <f t="shared" si="13"/>
        <v>5388.160241422418</v>
      </c>
    </row>
    <row r="97" spans="1:4" x14ac:dyDescent="0.25">
      <c r="A97" s="9">
        <f t="shared" si="14"/>
        <v>8</v>
      </c>
      <c r="B97" s="9">
        <f t="shared" si="15"/>
        <v>10500</v>
      </c>
      <c r="C97" s="10">
        <f t="shared" si="12"/>
        <v>0.46650738020973315</v>
      </c>
      <c r="D97" s="9">
        <f t="shared" si="13"/>
        <v>4898.3274922021983</v>
      </c>
    </row>
    <row r="98" spans="1:4" x14ac:dyDescent="0.25">
      <c r="A98" s="9">
        <f t="shared" si="14"/>
        <v>9</v>
      </c>
      <c r="B98" s="9">
        <f t="shared" si="15"/>
        <v>10500</v>
      </c>
      <c r="C98" s="10">
        <f t="shared" si="12"/>
        <v>0.42409761837248466</v>
      </c>
      <c r="D98" s="9">
        <f t="shared" si="13"/>
        <v>4453.0249929110887</v>
      </c>
    </row>
    <row r="99" spans="1:4" x14ac:dyDescent="0.25">
      <c r="A99" s="9">
        <f t="shared" si="14"/>
        <v>10</v>
      </c>
      <c r="B99" s="9">
        <f t="shared" si="15"/>
        <v>10500</v>
      </c>
      <c r="C99" s="10">
        <f t="shared" si="12"/>
        <v>0.38554328942953148</v>
      </c>
      <c r="D99" s="9">
        <f t="shared" si="13"/>
        <v>4048.2045390100807</v>
      </c>
    </row>
    <row r="100" spans="1:4" x14ac:dyDescent="0.25">
      <c r="A100" s="9">
        <f t="shared" si="14"/>
        <v>11</v>
      </c>
      <c r="B100" s="9">
        <f t="shared" si="15"/>
        <v>10500</v>
      </c>
      <c r="C100" s="10">
        <f t="shared" si="12"/>
        <v>0.3504938994813922</v>
      </c>
      <c r="D100" s="9">
        <f t="shared" si="13"/>
        <v>3680.1859445546179</v>
      </c>
    </row>
    <row r="101" spans="1:4" x14ac:dyDescent="0.25">
      <c r="A101" s="9">
        <f t="shared" si="14"/>
        <v>12</v>
      </c>
      <c r="B101" s="9">
        <f t="shared" si="15"/>
        <v>10500</v>
      </c>
      <c r="C101" s="10">
        <f t="shared" si="12"/>
        <v>0.31863081771035656</v>
      </c>
      <c r="D101" s="9">
        <f t="shared" si="13"/>
        <v>3345.6235859587441</v>
      </c>
    </row>
    <row r="102" spans="1:4" x14ac:dyDescent="0.25">
      <c r="A102" s="9">
        <f t="shared" si="14"/>
        <v>13</v>
      </c>
      <c r="B102" s="9">
        <f t="shared" si="15"/>
        <v>10500</v>
      </c>
      <c r="C102" s="10">
        <f t="shared" si="12"/>
        <v>0.28966437973668779</v>
      </c>
      <c r="D102" s="9">
        <f t="shared" si="13"/>
        <v>3041.475987235222</v>
      </c>
    </row>
    <row r="103" spans="1:4" x14ac:dyDescent="0.25">
      <c r="A103" s="9">
        <f t="shared" si="14"/>
        <v>14</v>
      </c>
      <c r="B103" s="9">
        <f t="shared" si="15"/>
        <v>10500</v>
      </c>
      <c r="C103" s="10">
        <f t="shared" si="12"/>
        <v>0.26333125430607973</v>
      </c>
      <c r="D103" s="9">
        <f t="shared" si="13"/>
        <v>2764.9781702138371</v>
      </c>
    </row>
    <row r="104" spans="1:4" x14ac:dyDescent="0.25">
      <c r="A104" s="9">
        <f t="shared" si="14"/>
        <v>15</v>
      </c>
      <c r="B104" s="9">
        <f t="shared" si="15"/>
        <v>10500</v>
      </c>
      <c r="C104" s="10">
        <f t="shared" si="12"/>
        <v>0.23939204936916339</v>
      </c>
      <c r="D104" s="9">
        <f t="shared" si="13"/>
        <v>2513.6165183762155</v>
      </c>
    </row>
    <row r="105" spans="1:4" x14ac:dyDescent="0.25">
      <c r="A105" s="9">
        <f t="shared" si="14"/>
        <v>16</v>
      </c>
      <c r="B105" s="9">
        <f t="shared" si="15"/>
        <v>10500</v>
      </c>
      <c r="C105" s="10">
        <f t="shared" si="12"/>
        <v>0.21762913579014853</v>
      </c>
      <c r="D105" s="9">
        <f t="shared" si="13"/>
        <v>2285.1059257965594</v>
      </c>
    </row>
    <row r="106" spans="1:4" x14ac:dyDescent="0.25">
      <c r="A106" s="9">
        <f t="shared" si="14"/>
        <v>17</v>
      </c>
      <c r="B106" s="9">
        <f t="shared" si="15"/>
        <v>10500</v>
      </c>
      <c r="C106" s="10">
        <f t="shared" si="12"/>
        <v>0.19784466890013502</v>
      </c>
      <c r="D106" s="9">
        <f t="shared" si="13"/>
        <v>2077.3690234514179</v>
      </c>
    </row>
    <row r="107" spans="1:4" x14ac:dyDescent="0.25">
      <c r="A107" s="9">
        <f t="shared" si="14"/>
        <v>18</v>
      </c>
      <c r="B107" s="9">
        <f t="shared" si="15"/>
        <v>10500</v>
      </c>
      <c r="C107" s="10">
        <f t="shared" si="12"/>
        <v>0.17985878990921364</v>
      </c>
      <c r="D107" s="9">
        <f t="shared" si="13"/>
        <v>1888.5172940467432</v>
      </c>
    </row>
    <row r="108" spans="1:4" x14ac:dyDescent="0.25">
      <c r="A108" s="9">
        <f t="shared" si="14"/>
        <v>19</v>
      </c>
      <c r="B108" s="9">
        <f t="shared" si="15"/>
        <v>10500</v>
      </c>
      <c r="C108" s="10">
        <f t="shared" si="12"/>
        <v>0.16350799082655781</v>
      </c>
      <c r="D108" s="9">
        <f t="shared" si="13"/>
        <v>1716.833903678857</v>
      </c>
    </row>
    <row r="109" spans="1:4" x14ac:dyDescent="0.25">
      <c r="A109" s="9">
        <f t="shared" si="14"/>
        <v>20</v>
      </c>
      <c r="B109" s="9">
        <f t="shared" si="15"/>
        <v>10500</v>
      </c>
      <c r="C109" s="10">
        <f t="shared" si="12"/>
        <v>0.14864362802414349</v>
      </c>
      <c r="D109" s="9">
        <f t="shared" si="13"/>
        <v>1560.7580942535067</v>
      </c>
    </row>
    <row r="110" spans="1:4" x14ac:dyDescent="0.25">
      <c r="A110" s="9" t="s">
        <v>29</v>
      </c>
      <c r="B110" s="9"/>
      <c r="C110" s="9"/>
      <c r="D110" s="9">
        <f>SUM(D89:D109)</f>
        <v>85425.476908704542</v>
      </c>
    </row>
    <row r="111" spans="1:4" x14ac:dyDescent="0.25">
      <c r="A111" s="9" t="s">
        <v>30</v>
      </c>
      <c r="B111" s="9"/>
      <c r="C111" s="9"/>
      <c r="D111" s="9">
        <f>((1+(1+0.1)^-20))/0.1</f>
        <v>11.486436280241433</v>
      </c>
    </row>
    <row r="112" spans="1:4" x14ac:dyDescent="0.25">
      <c r="A112" s="2" t="s">
        <v>32</v>
      </c>
      <c r="B112" s="2"/>
      <c r="C112" s="2"/>
      <c r="D112" s="2">
        <f>D110/D111</f>
        <v>7437.0740257925308</v>
      </c>
    </row>
    <row r="115" spans="1:3" x14ac:dyDescent="0.25">
      <c r="A115" s="4"/>
      <c r="B115" s="4"/>
      <c r="C115" s="4"/>
    </row>
    <row r="116" spans="1:3" x14ac:dyDescent="0.25">
      <c r="A116" s="4" t="s">
        <v>12</v>
      </c>
      <c r="B116" s="4" t="s">
        <v>35</v>
      </c>
      <c r="C116" s="4">
        <f>F39</f>
        <v>43911.913188945975</v>
      </c>
    </row>
    <row r="117" spans="1:3" x14ac:dyDescent="0.25">
      <c r="A117" s="4" t="s">
        <v>13</v>
      </c>
      <c r="B117" s="4" t="s">
        <v>26</v>
      </c>
      <c r="C117" s="6">
        <f>D42</f>
        <v>0.25887796906310601</v>
      </c>
    </row>
    <row r="118" spans="1:3" x14ac:dyDescent="0.25">
      <c r="A118" s="4" t="s">
        <v>14</v>
      </c>
      <c r="B118" s="4" t="s">
        <v>36</v>
      </c>
      <c r="C118" s="4" t="s">
        <v>39</v>
      </c>
    </row>
    <row r="119" spans="1:3" x14ac:dyDescent="0.25">
      <c r="A119" s="4" t="s">
        <v>15</v>
      </c>
      <c r="B119" s="4" t="s">
        <v>31</v>
      </c>
      <c r="C119" s="4">
        <f>D85</f>
        <v>3614.1378149782408</v>
      </c>
    </row>
    <row r="120" spans="1:3" x14ac:dyDescent="0.25">
      <c r="A120" s="4" t="s">
        <v>33</v>
      </c>
      <c r="B120" s="4" t="s">
        <v>37</v>
      </c>
      <c r="C120" s="4">
        <f>D112</f>
        <v>7437.0740257925308</v>
      </c>
    </row>
    <row r="121" spans="1:3" x14ac:dyDescent="0.25">
      <c r="A121" s="4" t="s">
        <v>34</v>
      </c>
      <c r="B121" s="4" t="s">
        <v>38</v>
      </c>
      <c r="C121" s="4" t="s">
        <v>40</v>
      </c>
    </row>
  </sheetData>
  <mergeCells count="1">
    <mergeCell ref="A45:E4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8:C43"/>
  <sheetViews>
    <sheetView topLeftCell="A25" workbookViewId="0">
      <selection activeCell="E21" sqref="E21"/>
    </sheetView>
  </sheetViews>
  <sheetFormatPr defaultRowHeight="15" x14ac:dyDescent="0.25"/>
  <cols>
    <col min="2" max="2" width="10.28515625" bestFit="1" customWidth="1"/>
  </cols>
  <sheetData>
    <row r="18" spans="1:3" x14ac:dyDescent="0.25">
      <c r="A18" s="2" t="s">
        <v>5</v>
      </c>
    </row>
    <row r="19" spans="1:3" x14ac:dyDescent="0.25">
      <c r="A19" t="s">
        <v>41</v>
      </c>
      <c r="B19">
        <v>22000</v>
      </c>
    </row>
    <row r="20" spans="1:3" x14ac:dyDescent="0.25">
      <c r="A20" t="s">
        <v>42</v>
      </c>
      <c r="B20">
        <f>2200</f>
        <v>2200</v>
      </c>
    </row>
    <row r="22" spans="1:3" x14ac:dyDescent="0.25">
      <c r="B22" t="s">
        <v>43</v>
      </c>
      <c r="C22" t="s">
        <v>46</v>
      </c>
    </row>
    <row r="23" spans="1:3" x14ac:dyDescent="0.25">
      <c r="A23" t="s">
        <v>45</v>
      </c>
      <c r="B23">
        <f>B20/0.05</f>
        <v>44000</v>
      </c>
      <c r="C23">
        <f>B20/0.1</f>
        <v>22000</v>
      </c>
    </row>
    <row r="24" spans="1:3" x14ac:dyDescent="0.25">
      <c r="A24" t="s">
        <v>44</v>
      </c>
      <c r="B24">
        <f>B19</f>
        <v>22000</v>
      </c>
      <c r="C24">
        <f>B19</f>
        <v>22000</v>
      </c>
    </row>
    <row r="25" spans="1:3" x14ac:dyDescent="0.25">
      <c r="A25" s="2" t="s">
        <v>35</v>
      </c>
      <c r="B25" s="2">
        <f>B23-B24</f>
        <v>22000</v>
      </c>
      <c r="C25" s="2">
        <f>C23-C24</f>
        <v>0</v>
      </c>
    </row>
    <row r="27" spans="1:3" x14ac:dyDescent="0.25">
      <c r="A27" s="2" t="s">
        <v>4</v>
      </c>
    </row>
    <row r="28" spans="1:3" x14ac:dyDescent="0.25">
      <c r="A28" t="s">
        <v>47</v>
      </c>
      <c r="B28" s="7"/>
    </row>
    <row r="30" spans="1:3" x14ac:dyDescent="0.25">
      <c r="A30" t="s">
        <v>9</v>
      </c>
    </row>
    <row r="31" spans="1:3" x14ac:dyDescent="0.25">
      <c r="A31" s="9" t="s">
        <v>0</v>
      </c>
      <c r="B31" s="9"/>
      <c r="C31" s="9"/>
    </row>
    <row r="32" spans="1:3" x14ac:dyDescent="0.25">
      <c r="A32" s="9">
        <v>0</v>
      </c>
      <c r="B32" s="9">
        <f>-22000</f>
        <v>-22000</v>
      </c>
      <c r="C32" s="9">
        <f>B32</f>
        <v>-22000</v>
      </c>
    </row>
    <row r="33" spans="1:3" x14ac:dyDescent="0.25">
      <c r="A33" s="9">
        <f>A32+1</f>
        <v>1</v>
      </c>
      <c r="B33" s="9">
        <f>2200</f>
        <v>2200</v>
      </c>
      <c r="C33" s="9">
        <f>C32+B33</f>
        <v>-19800</v>
      </c>
    </row>
    <row r="34" spans="1:3" x14ac:dyDescent="0.25">
      <c r="A34" s="9">
        <f t="shared" ref="A34:A41" si="0">A33+1</f>
        <v>2</v>
      </c>
      <c r="B34" s="9">
        <f>2200</f>
        <v>2200</v>
      </c>
      <c r="C34" s="9">
        <f t="shared" ref="C34:C41" si="1">C33+B34</f>
        <v>-17600</v>
      </c>
    </row>
    <row r="35" spans="1:3" x14ac:dyDescent="0.25">
      <c r="A35" s="9">
        <f t="shared" si="0"/>
        <v>3</v>
      </c>
      <c r="B35" s="9">
        <f>2200</f>
        <v>2200</v>
      </c>
      <c r="C35" s="9">
        <f t="shared" si="1"/>
        <v>-15400</v>
      </c>
    </row>
    <row r="36" spans="1:3" x14ac:dyDescent="0.25">
      <c r="A36" s="9">
        <f t="shared" si="0"/>
        <v>4</v>
      </c>
      <c r="B36" s="9">
        <f>2200</f>
        <v>2200</v>
      </c>
      <c r="C36" s="9">
        <f t="shared" si="1"/>
        <v>-13200</v>
      </c>
    </row>
    <row r="37" spans="1:3" x14ac:dyDescent="0.25">
      <c r="A37" s="9">
        <f t="shared" si="0"/>
        <v>5</v>
      </c>
      <c r="B37" s="9">
        <f>2200</f>
        <v>2200</v>
      </c>
      <c r="C37" s="9">
        <f t="shared" si="1"/>
        <v>-11000</v>
      </c>
    </row>
    <row r="38" spans="1:3" x14ac:dyDescent="0.25">
      <c r="A38" s="9">
        <f t="shared" si="0"/>
        <v>6</v>
      </c>
      <c r="B38" s="9">
        <f>2200</f>
        <v>2200</v>
      </c>
      <c r="C38" s="9">
        <f t="shared" si="1"/>
        <v>-8800</v>
      </c>
    </row>
    <row r="39" spans="1:3" x14ac:dyDescent="0.25">
      <c r="A39" s="9">
        <f t="shared" si="0"/>
        <v>7</v>
      </c>
      <c r="B39" s="9">
        <f>2200</f>
        <v>2200</v>
      </c>
      <c r="C39" s="9">
        <f t="shared" si="1"/>
        <v>-6600</v>
      </c>
    </row>
    <row r="40" spans="1:3" x14ac:dyDescent="0.25">
      <c r="A40" s="9">
        <f t="shared" si="0"/>
        <v>8</v>
      </c>
      <c r="B40" s="9">
        <f>2200</f>
        <v>2200</v>
      </c>
      <c r="C40" s="9">
        <f t="shared" si="1"/>
        <v>-4400</v>
      </c>
    </row>
    <row r="41" spans="1:3" x14ac:dyDescent="0.25">
      <c r="A41" s="9">
        <f t="shared" si="0"/>
        <v>9</v>
      </c>
      <c r="B41" s="9">
        <f>2200</f>
        <v>2200</v>
      </c>
      <c r="C41" s="9">
        <f t="shared" si="1"/>
        <v>-2200</v>
      </c>
    </row>
    <row r="42" spans="1:3" x14ac:dyDescent="0.25">
      <c r="A42" s="9">
        <f>A41+1</f>
        <v>10</v>
      </c>
      <c r="B42" s="9">
        <f>2200</f>
        <v>2200</v>
      </c>
      <c r="C42" s="9">
        <f>C41+B42</f>
        <v>0</v>
      </c>
    </row>
    <row r="43" spans="1:3" x14ac:dyDescent="0.25">
      <c r="A43" s="2" t="s">
        <v>48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7:C27"/>
  <sheetViews>
    <sheetView workbookViewId="0">
      <selection activeCell="A18" sqref="A18:C23"/>
    </sheetView>
  </sheetViews>
  <sheetFormatPr defaultRowHeight="15" x14ac:dyDescent="0.25"/>
  <cols>
    <col min="1" max="1" width="9.85546875" customWidth="1"/>
  </cols>
  <sheetData>
    <row r="17" spans="1:3" x14ac:dyDescent="0.25">
      <c r="A17" s="2" t="s">
        <v>5</v>
      </c>
    </row>
    <row r="18" spans="1:3" x14ac:dyDescent="0.25">
      <c r="A18" s="12" t="s">
        <v>0</v>
      </c>
      <c r="B18" s="12" t="s">
        <v>49</v>
      </c>
      <c r="C18" s="12" t="s">
        <v>50</v>
      </c>
    </row>
    <row r="19" spans="1:3" x14ac:dyDescent="0.25">
      <c r="A19" s="9">
        <v>0</v>
      </c>
      <c r="B19" s="9">
        <v>-310</v>
      </c>
      <c r="C19" s="9">
        <v>-310</v>
      </c>
    </row>
    <row r="20" spans="1:3" x14ac:dyDescent="0.25">
      <c r="A20" s="9">
        <f>A19+1</f>
        <v>1</v>
      </c>
      <c r="B20" s="9">
        <v>140</v>
      </c>
      <c r="C20" s="9">
        <v>210</v>
      </c>
    </row>
    <row r="21" spans="1:3" x14ac:dyDescent="0.25">
      <c r="A21" s="9">
        <f t="shared" ref="A21:A23" si="0">A20+1</f>
        <v>2</v>
      </c>
      <c r="B21" s="9">
        <v>140</v>
      </c>
      <c r="C21" s="9">
        <v>210</v>
      </c>
    </row>
    <row r="22" spans="1:3" x14ac:dyDescent="0.25">
      <c r="A22" s="9">
        <f t="shared" si="0"/>
        <v>3</v>
      </c>
      <c r="B22" s="9">
        <v>140</v>
      </c>
      <c r="C22" s="9">
        <v>210</v>
      </c>
    </row>
    <row r="23" spans="1:3" x14ac:dyDescent="0.25">
      <c r="A23" s="9">
        <f t="shared" si="0"/>
        <v>4</v>
      </c>
      <c r="B23" s="9">
        <v>140</v>
      </c>
      <c r="C23" s="9"/>
    </row>
    <row r="24" spans="1:3" x14ac:dyDescent="0.25">
      <c r="A24" s="2" t="s">
        <v>35</v>
      </c>
      <c r="B24" s="8">
        <f>NPV(10%,B19:B23)</f>
        <v>121.61923862627356</v>
      </c>
      <c r="C24" s="8">
        <f>NPV(10%,C19:C22)</f>
        <v>192.94447100607871</v>
      </c>
    </row>
    <row r="26" spans="1:3" x14ac:dyDescent="0.25">
      <c r="A26" s="2" t="s">
        <v>4</v>
      </c>
    </row>
    <row r="27" spans="1:3" x14ac:dyDescent="0.25">
      <c r="A27" s="2" t="s">
        <v>50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2:B70"/>
  <sheetViews>
    <sheetView topLeftCell="A55" workbookViewId="0">
      <selection activeCell="A44" sqref="A44:B48"/>
    </sheetView>
  </sheetViews>
  <sheetFormatPr defaultRowHeight="15" x14ac:dyDescent="0.25"/>
  <cols>
    <col min="1" max="1" width="20.140625" bestFit="1" customWidth="1"/>
  </cols>
  <sheetData>
    <row r="22" spans="1:2" x14ac:dyDescent="0.25">
      <c r="B22" t="s">
        <v>60</v>
      </c>
    </row>
    <row r="23" spans="1:2" x14ac:dyDescent="0.25">
      <c r="A23" t="s">
        <v>52</v>
      </c>
      <c r="B23">
        <v>228000</v>
      </c>
    </row>
    <row r="24" spans="1:2" x14ac:dyDescent="0.25">
      <c r="A24" t="s">
        <v>53</v>
      </c>
      <c r="B24">
        <v>67000</v>
      </c>
    </row>
    <row r="25" spans="1:2" x14ac:dyDescent="0.25">
      <c r="A25" t="s">
        <v>54</v>
      </c>
      <c r="B25">
        <f>B23-B24</f>
        <v>161000</v>
      </c>
    </row>
    <row r="26" spans="1:2" x14ac:dyDescent="0.25">
      <c r="A26" t="s">
        <v>55</v>
      </c>
      <c r="B26">
        <f>47000</f>
        <v>47000</v>
      </c>
    </row>
    <row r="27" spans="1:2" x14ac:dyDescent="0.25">
      <c r="A27" t="s">
        <v>56</v>
      </c>
      <c r="B27">
        <v>27000</v>
      </c>
    </row>
    <row r="28" spans="1:2" x14ac:dyDescent="0.25">
      <c r="A28" t="s">
        <v>57</v>
      </c>
      <c r="B28">
        <f>B25-B26-B27</f>
        <v>87000</v>
      </c>
    </row>
    <row r="29" spans="1:2" x14ac:dyDescent="0.25">
      <c r="A29" t="s">
        <v>58</v>
      </c>
      <c r="B29">
        <f>0.2*B28</f>
        <v>17400</v>
      </c>
    </row>
    <row r="30" spans="1:2" x14ac:dyDescent="0.25">
      <c r="A30" s="2" t="s">
        <v>59</v>
      </c>
      <c r="B30" s="2">
        <f>B28-B29</f>
        <v>69600</v>
      </c>
    </row>
    <row r="32" spans="1:2" x14ac:dyDescent="0.25">
      <c r="A32" s="2" t="s">
        <v>62</v>
      </c>
    </row>
    <row r="33" spans="1:2" x14ac:dyDescent="0.25">
      <c r="A33" s="9" t="s">
        <v>61</v>
      </c>
      <c r="B33" s="9"/>
    </row>
    <row r="34" spans="1:2" x14ac:dyDescent="0.25">
      <c r="A34" s="9" t="s">
        <v>52</v>
      </c>
      <c r="B34" s="9">
        <v>228000</v>
      </c>
    </row>
    <row r="35" spans="1:2" x14ac:dyDescent="0.25">
      <c r="A35" s="9" t="s">
        <v>53</v>
      </c>
      <c r="B35" s="9">
        <v>67000</v>
      </c>
    </row>
    <row r="36" spans="1:2" x14ac:dyDescent="0.25">
      <c r="A36" s="9" t="s">
        <v>54</v>
      </c>
      <c r="B36" s="9">
        <f>B34-B35</f>
        <v>161000</v>
      </c>
    </row>
    <row r="37" spans="1:2" x14ac:dyDescent="0.25">
      <c r="A37" s="9" t="s">
        <v>55</v>
      </c>
      <c r="B37" s="9">
        <f>47000</f>
        <v>47000</v>
      </c>
    </row>
    <row r="38" spans="1:2" x14ac:dyDescent="0.25">
      <c r="A38" s="9" t="s">
        <v>56</v>
      </c>
      <c r="B38" s="9"/>
    </row>
    <row r="39" spans="1:2" x14ac:dyDescent="0.25">
      <c r="A39" s="9" t="s">
        <v>57</v>
      </c>
      <c r="B39" s="9">
        <f>B36-B37-B38</f>
        <v>114000</v>
      </c>
    </row>
    <row r="40" spans="1:2" x14ac:dyDescent="0.25">
      <c r="A40" s="9" t="s">
        <v>58</v>
      </c>
      <c r="B40" s="9">
        <f>0.2*B39</f>
        <v>22800</v>
      </c>
    </row>
    <row r="41" spans="1:2" x14ac:dyDescent="0.25">
      <c r="A41" s="2" t="s">
        <v>64</v>
      </c>
      <c r="B41" s="2">
        <f>B39-B40</f>
        <v>91200</v>
      </c>
    </row>
    <row r="43" spans="1:2" x14ac:dyDescent="0.25">
      <c r="A43" s="2" t="s">
        <v>63</v>
      </c>
    </row>
    <row r="44" spans="1:2" x14ac:dyDescent="0.25">
      <c r="A44" s="9" t="s">
        <v>52</v>
      </c>
      <c r="B44" s="9">
        <v>228000</v>
      </c>
    </row>
    <row r="45" spans="1:2" x14ac:dyDescent="0.25">
      <c r="A45" s="9" t="s">
        <v>53</v>
      </c>
      <c r="B45" s="9">
        <v>67000</v>
      </c>
    </row>
    <row r="46" spans="1:2" x14ac:dyDescent="0.25">
      <c r="A46" s="9" t="s">
        <v>54</v>
      </c>
      <c r="B46" s="9">
        <f>B44-B45</f>
        <v>161000</v>
      </c>
    </row>
    <row r="47" spans="1:2" x14ac:dyDescent="0.25">
      <c r="A47" s="9" t="s">
        <v>55</v>
      </c>
      <c r="B47" s="9">
        <f>47000</f>
        <v>47000</v>
      </c>
    </row>
    <row r="48" spans="1:2" x14ac:dyDescent="0.25">
      <c r="A48" s="9" t="s">
        <v>56</v>
      </c>
      <c r="B48" s="9">
        <v>27000</v>
      </c>
    </row>
    <row r="49" spans="1:2" x14ac:dyDescent="0.25">
      <c r="A49" s="2" t="s">
        <v>64</v>
      </c>
      <c r="B49" s="2">
        <f>B46-B47-B48</f>
        <v>87000</v>
      </c>
    </row>
    <row r="52" spans="1:2" x14ac:dyDescent="0.25">
      <c r="A52" t="s">
        <v>65</v>
      </c>
    </row>
    <row r="56" spans="1:2" x14ac:dyDescent="0.25">
      <c r="A56" t="s">
        <v>66</v>
      </c>
      <c r="B56">
        <f>B48</f>
        <v>27000</v>
      </c>
    </row>
    <row r="57" spans="1:2" x14ac:dyDescent="0.25">
      <c r="A57" t="s">
        <v>67</v>
      </c>
      <c r="B57">
        <f>0.2</f>
        <v>0.2</v>
      </c>
    </row>
    <row r="58" spans="1:2" x14ac:dyDescent="0.25">
      <c r="A58" t="s">
        <v>68</v>
      </c>
      <c r="B58">
        <f>B56*B57</f>
        <v>5400</v>
      </c>
    </row>
    <row r="60" spans="1:2" x14ac:dyDescent="0.25">
      <c r="A60" s="2" t="s">
        <v>70</v>
      </c>
    </row>
    <row r="61" spans="1:2" x14ac:dyDescent="0.25">
      <c r="A61" s="9" t="s">
        <v>52</v>
      </c>
      <c r="B61" s="9">
        <v>228000</v>
      </c>
    </row>
    <row r="62" spans="1:2" x14ac:dyDescent="0.25">
      <c r="A62" s="9" t="s">
        <v>53</v>
      </c>
      <c r="B62" s="9">
        <v>67000</v>
      </c>
    </row>
    <row r="63" spans="1:2" x14ac:dyDescent="0.25">
      <c r="A63" s="9" t="s">
        <v>54</v>
      </c>
      <c r="B63" s="9">
        <f>B61-B62</f>
        <v>161000</v>
      </c>
    </row>
    <row r="64" spans="1:2" x14ac:dyDescent="0.25">
      <c r="A64" s="9" t="s">
        <v>55</v>
      </c>
      <c r="B64" s="9">
        <f>47000</f>
        <v>47000</v>
      </c>
    </row>
    <row r="65" spans="1:2" x14ac:dyDescent="0.25">
      <c r="A65" s="9" t="s">
        <v>56</v>
      </c>
      <c r="B65" s="9">
        <v>27000</v>
      </c>
    </row>
    <row r="66" spans="1:2" x14ac:dyDescent="0.25">
      <c r="A66" s="9" t="s">
        <v>57</v>
      </c>
      <c r="B66" s="9">
        <f>B63-B64-B65</f>
        <v>87000</v>
      </c>
    </row>
    <row r="67" spans="1:2" x14ac:dyDescent="0.25">
      <c r="A67" s="9" t="s">
        <v>58</v>
      </c>
      <c r="B67" s="9">
        <f>0.2*B66</f>
        <v>17400</v>
      </c>
    </row>
    <row r="68" spans="1:2" x14ac:dyDescent="0.25">
      <c r="A68" s="12" t="s">
        <v>64</v>
      </c>
      <c r="B68" s="12">
        <f>B66-B67</f>
        <v>69600</v>
      </c>
    </row>
    <row r="69" spans="1:2" x14ac:dyDescent="0.25">
      <c r="A69" s="9" t="s">
        <v>69</v>
      </c>
      <c r="B69" s="9">
        <f>B58</f>
        <v>5400</v>
      </c>
    </row>
    <row r="70" spans="1:2" x14ac:dyDescent="0.25">
      <c r="A70" s="2" t="s">
        <v>23</v>
      </c>
      <c r="B70" s="2">
        <f>B68+B69</f>
        <v>75000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9:C29"/>
  <sheetViews>
    <sheetView topLeftCell="A19" workbookViewId="0">
      <selection activeCell="G31" sqref="G31"/>
    </sheetView>
  </sheetViews>
  <sheetFormatPr defaultRowHeight="15" x14ac:dyDescent="0.25"/>
  <sheetData>
    <row r="19" spans="1:3" x14ac:dyDescent="0.25">
      <c r="A19" s="2" t="s">
        <v>5</v>
      </c>
    </row>
    <row r="20" spans="1:3" x14ac:dyDescent="0.25">
      <c r="A20" s="12" t="s">
        <v>0</v>
      </c>
      <c r="B20" s="12" t="s">
        <v>49</v>
      </c>
      <c r="C20" s="12" t="s">
        <v>50</v>
      </c>
    </row>
    <row r="21" spans="1:3" x14ac:dyDescent="0.25">
      <c r="A21" s="9">
        <v>0</v>
      </c>
      <c r="B21" s="9">
        <v>-230</v>
      </c>
      <c r="C21" s="9">
        <v>-230</v>
      </c>
    </row>
    <row r="22" spans="1:3" x14ac:dyDescent="0.25">
      <c r="A22" s="9">
        <f>A21+1</f>
        <v>1</v>
      </c>
      <c r="B22" s="9">
        <v>110</v>
      </c>
      <c r="C22" s="9">
        <v>130</v>
      </c>
    </row>
    <row r="23" spans="1:3" x14ac:dyDescent="0.25">
      <c r="A23" s="9">
        <f t="shared" ref="A23:A25" si="0">A22+1</f>
        <v>2</v>
      </c>
      <c r="B23" s="9">
        <v>110</v>
      </c>
      <c r="C23" s="9">
        <v>130</v>
      </c>
    </row>
    <row r="24" spans="1:3" x14ac:dyDescent="0.25">
      <c r="A24" s="9">
        <f t="shared" si="0"/>
        <v>3</v>
      </c>
      <c r="B24" s="9">
        <v>110</v>
      </c>
      <c r="C24" s="9">
        <v>130</v>
      </c>
    </row>
    <row r="25" spans="1:3" x14ac:dyDescent="0.25">
      <c r="A25" s="9">
        <f t="shared" si="0"/>
        <v>4</v>
      </c>
      <c r="B25" s="9">
        <v>110</v>
      </c>
      <c r="C25" s="9"/>
    </row>
    <row r="26" spans="1:3" x14ac:dyDescent="0.25">
      <c r="A26" s="2" t="s">
        <v>35</v>
      </c>
      <c r="B26" s="8">
        <f>NPV(11%,B21:B25)</f>
        <v>100.24236563513479</v>
      </c>
      <c r="C26" s="8">
        <f>NPV(11%,C21:C24)</f>
        <v>78.993615322493454</v>
      </c>
    </row>
    <row r="28" spans="1:3" x14ac:dyDescent="0.25">
      <c r="A28" s="2" t="s">
        <v>4</v>
      </c>
    </row>
    <row r="29" spans="1:3" x14ac:dyDescent="0.25">
      <c r="A29" s="2" t="s">
        <v>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1-7</vt:lpstr>
      <vt:lpstr>8</vt:lpstr>
      <vt:lpstr>9-10</vt:lpstr>
      <vt:lpstr>11</vt:lpstr>
      <vt:lpstr>12</vt:lpstr>
      <vt:lpstr>13</vt:lpstr>
      <vt:lpstr>14</vt:lpstr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2020-10-25T09:53:06Z</dcterms:created>
  <dcterms:modified xsi:type="dcterms:W3CDTF">2020-10-25T16:10:06Z</dcterms:modified>
</cp:coreProperties>
</file>